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7395" activeTab="2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8" i="3"/>
  <c r="F7"/>
  <c r="K49"/>
  <c r="J49"/>
  <c r="I49"/>
  <c r="H49"/>
  <c r="G49"/>
  <c r="F49"/>
  <c r="L49" s="1"/>
  <c r="K48"/>
  <c r="J48"/>
  <c r="I48"/>
  <c r="H48"/>
  <c r="G48"/>
  <c r="F48"/>
  <c r="L48" s="1"/>
  <c r="K47"/>
  <c r="J47"/>
  <c r="I47"/>
  <c r="H47"/>
  <c r="G47"/>
  <c r="F47"/>
  <c r="L47" s="1"/>
  <c r="K46"/>
  <c r="J46"/>
  <c r="I46"/>
  <c r="H46"/>
  <c r="G46"/>
  <c r="F46"/>
  <c r="L46" s="1"/>
  <c r="K40"/>
  <c r="J40"/>
  <c r="I40"/>
  <c r="H40"/>
  <c r="G40"/>
  <c r="F40"/>
  <c r="K39"/>
  <c r="J39"/>
  <c r="I39"/>
  <c r="H39"/>
  <c r="G39"/>
  <c r="F39"/>
  <c r="K33"/>
  <c r="J33"/>
  <c r="I33"/>
  <c r="H33"/>
  <c r="G33"/>
  <c r="F33"/>
  <c r="K32"/>
  <c r="J32"/>
  <c r="I32"/>
  <c r="H32"/>
  <c r="G32"/>
  <c r="F32"/>
  <c r="K31"/>
  <c r="J31"/>
  <c r="I31"/>
  <c r="H31"/>
  <c r="G31"/>
  <c r="F31"/>
  <c r="K30"/>
  <c r="J30"/>
  <c r="I30"/>
  <c r="H30"/>
  <c r="G30"/>
  <c r="F30"/>
  <c r="K29"/>
  <c r="J29"/>
  <c r="I29"/>
  <c r="H29"/>
  <c r="G29"/>
  <c r="F29"/>
  <c r="K28"/>
  <c r="J28"/>
  <c r="I28"/>
  <c r="H28"/>
  <c r="G28"/>
  <c r="F28"/>
  <c r="K27"/>
  <c r="J27"/>
  <c r="I27"/>
  <c r="H27"/>
  <c r="G27"/>
  <c r="F27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L19" s="1"/>
  <c r="K18"/>
  <c r="J18"/>
  <c r="I18"/>
  <c r="H18"/>
  <c r="G18"/>
  <c r="F18"/>
  <c r="K17"/>
  <c r="J17"/>
  <c r="I17"/>
  <c r="H17"/>
  <c r="G17"/>
  <c r="F17"/>
  <c r="K16"/>
  <c r="J16"/>
  <c r="I16"/>
  <c r="H16"/>
  <c r="G16"/>
  <c r="F16"/>
  <c r="K15"/>
  <c r="J15"/>
  <c r="I15"/>
  <c r="H15"/>
  <c r="G15"/>
  <c r="F15"/>
  <c r="L15" s="1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K11"/>
  <c r="J11"/>
  <c r="I11"/>
  <c r="H11"/>
  <c r="G11"/>
  <c r="F11"/>
  <c r="I10"/>
  <c r="H10"/>
  <c r="G10"/>
  <c r="F10"/>
  <c r="K9"/>
  <c r="J9"/>
  <c r="I9"/>
  <c r="H9"/>
  <c r="G9"/>
  <c r="F9"/>
  <c r="L9" s="1"/>
  <c r="K6"/>
  <c r="J6"/>
  <c r="I6"/>
  <c r="H6"/>
  <c r="G6"/>
  <c r="F6"/>
  <c r="L13"/>
  <c r="L17"/>
  <c r="L21"/>
  <c r="L13" i="2"/>
  <c r="L16"/>
  <c r="K7"/>
  <c r="J7"/>
  <c r="I7"/>
  <c r="K9"/>
  <c r="J9"/>
  <c r="I9"/>
  <c r="K14"/>
  <c r="J14"/>
  <c r="I14"/>
  <c r="K11"/>
  <c r="J11"/>
  <c r="I11"/>
  <c r="K8"/>
  <c r="J8"/>
  <c r="I8"/>
  <c r="K12"/>
  <c r="J12"/>
  <c r="I12"/>
  <c r="K15"/>
  <c r="J15"/>
  <c r="I15"/>
  <c r="K10"/>
  <c r="J10"/>
  <c r="I10"/>
  <c r="K6"/>
  <c r="J6"/>
  <c r="I6"/>
  <c r="K16"/>
  <c r="J16"/>
  <c r="I16"/>
  <c r="H16"/>
  <c r="G16"/>
  <c r="F16"/>
  <c r="K13"/>
  <c r="J13"/>
  <c r="I13"/>
  <c r="H13"/>
  <c r="G13"/>
  <c r="F13"/>
  <c r="K19" i="1"/>
  <c r="J19"/>
  <c r="I19"/>
  <c r="K23"/>
  <c r="J23"/>
  <c r="I23"/>
  <c r="K42"/>
  <c r="J42"/>
  <c r="I42"/>
  <c r="K22"/>
  <c r="J22"/>
  <c r="I22"/>
  <c r="K30"/>
  <c r="J30"/>
  <c r="I30"/>
  <c r="K27"/>
  <c r="J27"/>
  <c r="I27"/>
  <c r="K14"/>
  <c r="J14"/>
  <c r="I14"/>
  <c r="K40"/>
  <c r="J40"/>
  <c r="I40"/>
  <c r="K15"/>
  <c r="J15"/>
  <c r="I15"/>
  <c r="K13"/>
  <c r="J13"/>
  <c r="I13"/>
  <c r="K18"/>
  <c r="J18"/>
  <c r="I18"/>
  <c r="K16"/>
  <c r="J16"/>
  <c r="I16"/>
  <c r="K26"/>
  <c r="J26"/>
  <c r="I26"/>
  <c r="K43"/>
  <c r="J43"/>
  <c r="I43"/>
  <c r="K28"/>
  <c r="J28"/>
  <c r="I28"/>
  <c r="L28" s="1"/>
  <c r="K21"/>
  <c r="J21"/>
  <c r="I21"/>
  <c r="F24"/>
  <c r="K17"/>
  <c r="J17"/>
  <c r="I17"/>
  <c r="H17"/>
  <c r="G17"/>
  <c r="F17"/>
  <c r="L17" s="1"/>
  <c r="K41"/>
  <c r="J41"/>
  <c r="I41"/>
  <c r="K25"/>
  <c r="J25"/>
  <c r="I25"/>
  <c r="K24"/>
  <c r="J24"/>
  <c r="I24"/>
  <c r="K12"/>
  <c r="J12"/>
  <c r="I12"/>
  <c r="K6"/>
  <c r="J6"/>
  <c r="I6"/>
  <c r="K45"/>
  <c r="J45"/>
  <c r="I45"/>
  <c r="K44"/>
  <c r="J44"/>
  <c r="I44"/>
  <c r="K39"/>
  <c r="J39"/>
  <c r="I39"/>
  <c r="K9"/>
  <c r="J9"/>
  <c r="I9"/>
  <c r="K46"/>
  <c r="J46"/>
  <c r="I46"/>
  <c r="K29"/>
  <c r="L29" s="1"/>
  <c r="J29"/>
  <c r="I29"/>
  <c r="K20"/>
  <c r="J20"/>
  <c r="I20"/>
  <c r="L10"/>
  <c r="K38"/>
  <c r="J38"/>
  <c r="I38"/>
  <c r="F10" i="2"/>
  <c r="G10"/>
  <c r="H10"/>
  <c r="F6"/>
  <c r="G6"/>
  <c r="H6"/>
  <c r="L10"/>
  <c r="L6"/>
  <c r="H15"/>
  <c r="G15"/>
  <c r="F15"/>
  <c r="H7"/>
  <c r="G7"/>
  <c r="F7"/>
  <c r="H12"/>
  <c r="L12" s="1"/>
  <c r="G12"/>
  <c r="F12"/>
  <c r="H8"/>
  <c r="G8"/>
  <c r="F8"/>
  <c r="H11"/>
  <c r="G11"/>
  <c r="F11"/>
  <c r="H14"/>
  <c r="L14" s="1"/>
  <c r="G14"/>
  <c r="F14"/>
  <c r="H9"/>
  <c r="L9" s="1"/>
  <c r="G9"/>
  <c r="F9"/>
  <c r="L8"/>
  <c r="L11"/>
  <c r="L7" i="1"/>
  <c r="L6"/>
  <c r="L13"/>
  <c r="L26"/>
  <c r="L9"/>
  <c r="L12"/>
  <c r="L16"/>
  <c r="L18"/>
  <c r="L15"/>
  <c r="L25"/>
  <c r="L21"/>
  <c r="L11"/>
  <c r="L24"/>
  <c r="L20"/>
  <c r="L14"/>
  <c r="L8"/>
  <c r="L30"/>
  <c r="L22"/>
  <c r="L19"/>
  <c r="L27"/>
  <c r="L39"/>
  <c r="L43"/>
  <c r="L41"/>
  <c r="L40"/>
  <c r="L45"/>
  <c r="L46"/>
  <c r="L42"/>
  <c r="L38"/>
  <c r="H19"/>
  <c r="G19"/>
  <c r="G27"/>
  <c r="F19"/>
  <c r="H23"/>
  <c r="G23"/>
  <c r="F23"/>
  <c r="H42"/>
  <c r="G42"/>
  <c r="F42"/>
  <c r="H22"/>
  <c r="G22"/>
  <c r="F22"/>
  <c r="H30"/>
  <c r="G30"/>
  <c r="F30"/>
  <c r="H27"/>
  <c r="F27"/>
  <c r="H14"/>
  <c r="G14"/>
  <c r="F14"/>
  <c r="H16"/>
  <c r="G16"/>
  <c r="F16"/>
  <c r="H18"/>
  <c r="G18"/>
  <c r="F18"/>
  <c r="G21"/>
  <c r="H13"/>
  <c r="G13"/>
  <c r="F13"/>
  <c r="H15"/>
  <c r="G15"/>
  <c r="F15"/>
  <c r="H40"/>
  <c r="G40"/>
  <c r="F40"/>
  <c r="H28"/>
  <c r="G28"/>
  <c r="F28"/>
  <c r="H25"/>
  <c r="G25"/>
  <c r="F25"/>
  <c r="H41"/>
  <c r="G41"/>
  <c r="F41"/>
  <c r="H21"/>
  <c r="F21"/>
  <c r="H11"/>
  <c r="H43"/>
  <c r="G43"/>
  <c r="F43"/>
  <c r="H26"/>
  <c r="G26"/>
  <c r="F26"/>
  <c r="H24"/>
  <c r="G24"/>
  <c r="H12"/>
  <c r="G12"/>
  <c r="F12"/>
  <c r="H6"/>
  <c r="G6"/>
  <c r="F6"/>
  <c r="H45"/>
  <c r="G45"/>
  <c r="F45"/>
  <c r="H44"/>
  <c r="G44"/>
  <c r="F44"/>
  <c r="H39"/>
  <c r="G39"/>
  <c r="F39"/>
  <c r="H9"/>
  <c r="G9"/>
  <c r="F9"/>
  <c r="H46"/>
  <c r="G46"/>
  <c r="F46"/>
  <c r="H29"/>
  <c r="G29"/>
  <c r="F29"/>
  <c r="H20"/>
  <c r="G20"/>
  <c r="F20"/>
  <c r="H10"/>
  <c r="H38"/>
  <c r="G38"/>
  <c r="F38"/>
  <c r="L10" i="3" l="1"/>
  <c r="L11"/>
  <c r="L12"/>
  <c r="L14"/>
  <c r="L16"/>
  <c r="L18"/>
  <c r="L20"/>
  <c r="L30"/>
  <c r="L31"/>
  <c r="L32"/>
  <c r="L6"/>
  <c r="L8"/>
  <c r="L27"/>
  <c r="L28"/>
  <c r="L29"/>
  <c r="L33"/>
  <c r="L39"/>
  <c r="L40"/>
  <c r="L23" i="1"/>
  <c r="L44"/>
  <c r="L15" i="2"/>
  <c r="L7"/>
</calcChain>
</file>

<file path=xl/sharedStrings.xml><?xml version="1.0" encoding="utf-8"?>
<sst xmlns="http://schemas.openxmlformats.org/spreadsheetml/2006/main" count="339" uniqueCount="120">
  <si>
    <t>pořadí</t>
  </si>
  <si>
    <t>příjmení + jméno</t>
  </si>
  <si>
    <t>rok nar.</t>
  </si>
  <si>
    <t>čl. průkaz</t>
  </si>
  <si>
    <t>č. klubu</t>
  </si>
  <si>
    <t>KRUHY</t>
  </si>
  <si>
    <t>FIGURY</t>
  </si>
  <si>
    <t>I.</t>
  </si>
  <si>
    <t>II.</t>
  </si>
  <si>
    <t>III.</t>
  </si>
  <si>
    <t>IV.</t>
  </si>
  <si>
    <t>V.</t>
  </si>
  <si>
    <t>VI.</t>
  </si>
  <si>
    <t>Krystyníková Hana</t>
  </si>
  <si>
    <t>04061</t>
  </si>
  <si>
    <t>0294</t>
  </si>
  <si>
    <t>Šmíd Karel</t>
  </si>
  <si>
    <t>Jíša Jakub</t>
  </si>
  <si>
    <t>0543</t>
  </si>
  <si>
    <t>Krása Jaroslav</t>
  </si>
  <si>
    <t>17071</t>
  </si>
  <si>
    <t>0657</t>
  </si>
  <si>
    <t>Rohenberg Jakub</t>
  </si>
  <si>
    <t>39538</t>
  </si>
  <si>
    <t>0405</t>
  </si>
  <si>
    <t>Ing. Kousal Vladimír</t>
  </si>
  <si>
    <t>02539</t>
  </si>
  <si>
    <t>Kolátor Jan</t>
  </si>
  <si>
    <t>36954</t>
  </si>
  <si>
    <t>0415</t>
  </si>
  <si>
    <t>Boháček Jiří</t>
  </si>
  <si>
    <t>01140</t>
  </si>
  <si>
    <t>0019</t>
  </si>
  <si>
    <t>Boháček Zdeněk</t>
  </si>
  <si>
    <t xml:space="preserve"> - </t>
  </si>
  <si>
    <t>Šteirner Jakub</t>
  </si>
  <si>
    <t>39420</t>
  </si>
  <si>
    <t>Fidler Tomáš</t>
  </si>
  <si>
    <t>34943</t>
  </si>
  <si>
    <t>Szekely Jaroslav</t>
  </si>
  <si>
    <t>34397</t>
  </si>
  <si>
    <t>0849</t>
  </si>
  <si>
    <t>Krystyník Miroslav</t>
  </si>
  <si>
    <t>04052</t>
  </si>
  <si>
    <t>Pletánek Václav</t>
  </si>
  <si>
    <t>0251</t>
  </si>
  <si>
    <t>Beneš Michal</t>
  </si>
  <si>
    <t>39148</t>
  </si>
  <si>
    <t>Peiker Miroslav</t>
  </si>
  <si>
    <t>34984</t>
  </si>
  <si>
    <t>0098</t>
  </si>
  <si>
    <t>Isák Zdeněk</t>
  </si>
  <si>
    <t>11835</t>
  </si>
  <si>
    <t>0630</t>
  </si>
  <si>
    <t>Dundr Lukáš</t>
  </si>
  <si>
    <t>39304</t>
  </si>
  <si>
    <t>Valenta Petr</t>
  </si>
  <si>
    <t>ČMSJ</t>
  </si>
  <si>
    <t>Hubáček Pavel</t>
  </si>
  <si>
    <t>Mgr. Chmel Karel</t>
  </si>
  <si>
    <t>01575</t>
  </si>
  <si>
    <t>0175</t>
  </si>
  <si>
    <t>0715</t>
  </si>
  <si>
    <t>Červenka Pavel</t>
  </si>
  <si>
    <t>26241</t>
  </si>
  <si>
    <t>0804</t>
  </si>
  <si>
    <t>Kos Petr</t>
  </si>
  <si>
    <t>22269</t>
  </si>
  <si>
    <t>Koman Pavel</t>
  </si>
  <si>
    <t>23842</t>
  </si>
  <si>
    <t>Pavlová Stanislava</t>
  </si>
  <si>
    <t>Beneš Milan</t>
  </si>
  <si>
    <t>39326</t>
  </si>
  <si>
    <t>Šlechtová Martina</t>
  </si>
  <si>
    <t>Karpíšek Břetislav</t>
  </si>
  <si>
    <t>10389</t>
  </si>
  <si>
    <t>0797</t>
  </si>
  <si>
    <t>Kožíšek Petr</t>
  </si>
  <si>
    <t>Kučera Petr</t>
  </si>
  <si>
    <t>39287</t>
  </si>
  <si>
    <t>Radochlib Jiří</t>
  </si>
  <si>
    <t>20132</t>
  </si>
  <si>
    <t>AVZO</t>
  </si>
  <si>
    <t>Polach Jan</t>
  </si>
  <si>
    <t>38840</t>
  </si>
  <si>
    <t>Šlechta Pavel</t>
  </si>
  <si>
    <t>36948</t>
  </si>
  <si>
    <t>Kulhan Milan</t>
  </si>
  <si>
    <t>050323</t>
  </si>
  <si>
    <t xml:space="preserve"> </t>
  </si>
  <si>
    <t>celkem</t>
  </si>
  <si>
    <t>38055</t>
  </si>
  <si>
    <t>32651</t>
  </si>
  <si>
    <t>rozst.43</t>
  </si>
  <si>
    <t>rozst.42</t>
  </si>
  <si>
    <t>10xC</t>
  </si>
  <si>
    <t>7  Xc</t>
  </si>
  <si>
    <t>KRAJSKÝ   PŘEBOR  ÚSTECKÉHO KRAJE  -  SP 30+30</t>
  </si>
  <si>
    <t>Lenešice - 1.7.2012</t>
  </si>
  <si>
    <t>Muži,junioři, senioři</t>
  </si>
  <si>
    <t xml:space="preserve">Lenešice - 1.7.2012   </t>
  </si>
  <si>
    <t>Dorost</t>
  </si>
  <si>
    <t>Ženy</t>
  </si>
  <si>
    <t>VP 30+30</t>
  </si>
  <si>
    <t>Kat.sloučená</t>
  </si>
  <si>
    <t>50323</t>
  </si>
  <si>
    <t>VC   PRÁZDNIN</t>
  </si>
  <si>
    <t>Kat. sloučená</t>
  </si>
  <si>
    <t>NČ</t>
  </si>
  <si>
    <t>VC    PRÁZDNIN</t>
  </si>
  <si>
    <t>SP 30+30</t>
  </si>
  <si>
    <t>Kat. Muži,junioři,senioři</t>
  </si>
  <si>
    <t>Lenešice -  1.7.2012</t>
  </si>
  <si>
    <t>Kat. ženy,juniorky,dorost</t>
  </si>
  <si>
    <t>6  Xc</t>
  </si>
  <si>
    <t>16xC</t>
  </si>
  <si>
    <t>18x 10</t>
  </si>
  <si>
    <t>17x 10</t>
  </si>
  <si>
    <t>rozst. 43</t>
  </si>
  <si>
    <t>rozst. 42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</si>
</sst>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left" indent="1"/>
    </xf>
    <xf numFmtId="49" fontId="0" fillId="0" borderId="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6" xfId="0" applyBorder="1" applyAlignment="1">
      <alignment horizontal="left" indent="1"/>
    </xf>
    <xf numFmtId="0" fontId="0" fillId="0" borderId="16" xfId="0" applyBorder="1" applyAlignment="1">
      <alignment horizontal="center"/>
    </xf>
    <xf numFmtId="0" fontId="0" fillId="0" borderId="18" xfId="0" applyBorder="1"/>
    <xf numFmtId="49" fontId="0" fillId="0" borderId="16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9" xfId="0" applyBorder="1"/>
    <xf numFmtId="0" fontId="0" fillId="0" borderId="23" xfId="0" applyBorder="1"/>
    <xf numFmtId="0" fontId="0" fillId="0" borderId="9" xfId="0" applyBorder="1" applyAlignment="1">
      <alignment horizontal="left" inden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 inden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7" xfId="0" applyBorder="1"/>
    <xf numFmtId="0" fontId="0" fillId="0" borderId="29" xfId="0" applyBorder="1"/>
    <xf numFmtId="0" fontId="0" fillId="0" borderId="17" xfId="0" applyBorder="1" applyAlignment="1">
      <alignment horizontal="left" indent="1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28" xfId="0" applyBorder="1"/>
    <xf numFmtId="0" fontId="0" fillId="0" borderId="31" xfId="0" applyBorder="1"/>
    <xf numFmtId="0" fontId="0" fillId="0" borderId="16" xfId="0" applyFill="1" applyBorder="1" applyAlignment="1">
      <alignment horizontal="center"/>
    </xf>
    <xf numFmtId="49" fontId="0" fillId="0" borderId="5" xfId="0" applyNumberFormat="1" applyBorder="1" applyAlignment="1"/>
    <xf numFmtId="49" fontId="0" fillId="0" borderId="27" xfId="0" applyNumberFormat="1" applyBorder="1" applyAlignment="1"/>
    <xf numFmtId="49" fontId="0" fillId="0" borderId="1" xfId="0" applyNumberFormat="1" applyBorder="1" applyAlignment="1"/>
    <xf numFmtId="49" fontId="0" fillId="0" borderId="5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1" xfId="0" applyBorder="1" applyAlignment="1"/>
    <xf numFmtId="0" fontId="0" fillId="0" borderId="17" xfId="0" applyBorder="1" applyAlignment="1"/>
    <xf numFmtId="49" fontId="0" fillId="0" borderId="17" xfId="0" applyNumberFormat="1" applyBorder="1" applyAlignment="1"/>
    <xf numFmtId="0" fontId="0" fillId="0" borderId="18" xfId="0" applyBorder="1" applyAlignment="1"/>
    <xf numFmtId="49" fontId="0" fillId="0" borderId="18" xfId="0" applyNumberFormat="1" applyBorder="1" applyAlignment="1"/>
    <xf numFmtId="0" fontId="0" fillId="0" borderId="16" xfId="0" applyFill="1" applyBorder="1" applyAlignment="1">
      <alignment horizontal="left" indent="1"/>
    </xf>
    <xf numFmtId="0" fontId="0" fillId="0" borderId="2" xfId="0" applyBorder="1"/>
    <xf numFmtId="0" fontId="0" fillId="0" borderId="35" xfId="0" applyBorder="1"/>
    <xf numFmtId="0" fontId="0" fillId="0" borderId="17" xfId="0" applyFill="1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0" fillId="0" borderId="2" xfId="0" applyBorder="1" applyAlignment="1"/>
    <xf numFmtId="49" fontId="0" fillId="0" borderId="2" xfId="0" applyNumberFormat="1" applyBorder="1" applyAlignment="1"/>
    <xf numFmtId="49" fontId="0" fillId="0" borderId="36" xfId="0" applyNumberFormat="1" applyBorder="1" applyAlignment="1"/>
    <xf numFmtId="49" fontId="0" fillId="0" borderId="30" xfId="0" applyNumberFormat="1" applyBorder="1" applyAlignment="1"/>
    <xf numFmtId="0" fontId="0" fillId="0" borderId="37" xfId="0" applyBorder="1"/>
    <xf numFmtId="0" fontId="0" fillId="0" borderId="0" xfId="0" applyBorder="1" applyAlignment="1"/>
    <xf numFmtId="49" fontId="0" fillId="0" borderId="0" xfId="0" applyNumberFormat="1" applyBorder="1" applyAlignment="1"/>
    <xf numFmtId="0" fontId="0" fillId="0" borderId="1" xfId="0" applyFill="1" applyBorder="1" applyAlignment="1"/>
    <xf numFmtId="0" fontId="0" fillId="0" borderId="2" xfId="0" applyFill="1" applyBorder="1" applyAlignment="1">
      <alignment horizontal="left" indent="1"/>
    </xf>
    <xf numFmtId="0" fontId="0" fillId="0" borderId="2" xfId="0" applyFill="1" applyBorder="1" applyAlignment="1"/>
    <xf numFmtId="0" fontId="0" fillId="0" borderId="21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left" indent="1"/>
    </xf>
    <xf numFmtId="49" fontId="0" fillId="0" borderId="2" xfId="0" applyNumberFormat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49" fontId="0" fillId="0" borderId="0" xfId="0" applyNumberFormat="1" applyFill="1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7"/>
  <sheetViews>
    <sheetView workbookViewId="0">
      <selection activeCell="O9" sqref="O9"/>
    </sheetView>
  </sheetViews>
  <sheetFormatPr defaultRowHeight="15"/>
  <cols>
    <col min="1" max="1" width="7.7109375" customWidth="1"/>
    <col min="2" max="2" width="21.85546875" customWidth="1"/>
    <col min="4" max="4" width="9.5703125" customWidth="1"/>
    <col min="12" max="12" width="11.85546875" bestFit="1" customWidth="1"/>
  </cols>
  <sheetData>
    <row r="1" spans="1:27">
      <c r="B1" t="s">
        <v>109</v>
      </c>
    </row>
    <row r="2" spans="1:27">
      <c r="B2" t="s">
        <v>98</v>
      </c>
      <c r="C2" t="s">
        <v>110</v>
      </c>
      <c r="D2" t="s">
        <v>111</v>
      </c>
    </row>
    <row r="3" spans="1:27" ht="15.75" thickBot="1">
      <c r="I3" s="12"/>
    </row>
    <row r="4" spans="1:27">
      <c r="A4" s="83" t="s">
        <v>0</v>
      </c>
      <c r="B4" s="85" t="s">
        <v>1</v>
      </c>
      <c r="C4" s="85" t="s">
        <v>2</v>
      </c>
      <c r="D4" s="85" t="s">
        <v>3</v>
      </c>
      <c r="E4" s="85" t="s">
        <v>4</v>
      </c>
      <c r="F4" s="91" t="s">
        <v>5</v>
      </c>
      <c r="G4" s="91"/>
      <c r="H4" s="91"/>
      <c r="I4" s="91" t="s">
        <v>6</v>
      </c>
      <c r="J4" s="91"/>
      <c r="K4" s="92"/>
      <c r="L4" s="80" t="s">
        <v>90</v>
      </c>
    </row>
    <row r="5" spans="1:27" ht="15.75" thickBot="1">
      <c r="A5" s="84"/>
      <c r="B5" s="86"/>
      <c r="C5" s="86"/>
      <c r="D5" s="86"/>
      <c r="E5" s="86"/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8" t="s">
        <v>12</v>
      </c>
      <c r="L5" s="82"/>
    </row>
    <row r="6" spans="1:27">
      <c r="A6" s="17">
        <v>1</v>
      </c>
      <c r="B6" s="30" t="s">
        <v>37</v>
      </c>
      <c r="C6" s="50">
        <v>1988</v>
      </c>
      <c r="D6" s="42" t="s">
        <v>38</v>
      </c>
      <c r="E6" s="43" t="s">
        <v>32</v>
      </c>
      <c r="F6" s="32">
        <f>50+49</f>
        <v>99</v>
      </c>
      <c r="G6" s="32">
        <f>9+9+9+9+7+48</f>
        <v>91</v>
      </c>
      <c r="H6" s="32">
        <f>48+9+9+9+8+6</f>
        <v>89</v>
      </c>
      <c r="I6" s="32">
        <f>30+18+10+36</f>
        <v>94</v>
      </c>
      <c r="J6" s="32">
        <f>10+27+8+30+18</f>
        <v>93</v>
      </c>
      <c r="K6" s="39">
        <f>50+20+18+8</f>
        <v>96</v>
      </c>
      <c r="L6" s="7">
        <f t="shared" ref="L6:L30" si="0">SUM(F6:K6)</f>
        <v>562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>
      <c r="A7" s="17">
        <v>2</v>
      </c>
      <c r="B7" s="35" t="s">
        <v>85</v>
      </c>
      <c r="C7" s="50">
        <v>1965</v>
      </c>
      <c r="D7" s="44" t="s">
        <v>86</v>
      </c>
      <c r="E7" s="44" t="s">
        <v>18</v>
      </c>
      <c r="F7" s="32">
        <v>96</v>
      </c>
      <c r="G7" s="32">
        <v>95</v>
      </c>
      <c r="H7" s="32">
        <v>91</v>
      </c>
      <c r="I7" s="32">
        <v>95</v>
      </c>
      <c r="J7" s="32">
        <v>91</v>
      </c>
      <c r="K7" s="34">
        <v>93</v>
      </c>
      <c r="L7" s="7">
        <f t="shared" si="0"/>
        <v>561</v>
      </c>
      <c r="M7" t="s">
        <v>118</v>
      </c>
      <c r="N7" s="9"/>
      <c r="O7" s="65"/>
      <c r="P7" s="66"/>
      <c r="Q7" s="66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>
      <c r="A8" s="17">
        <v>3</v>
      </c>
      <c r="B8" s="30" t="s">
        <v>58</v>
      </c>
      <c r="C8" s="50">
        <v>1957</v>
      </c>
      <c r="D8" s="42" t="s">
        <v>92</v>
      </c>
      <c r="E8" s="43" t="s">
        <v>62</v>
      </c>
      <c r="F8" s="32">
        <v>98</v>
      </c>
      <c r="G8" s="32">
        <v>92</v>
      </c>
      <c r="H8" s="32">
        <v>90</v>
      </c>
      <c r="I8" s="32">
        <v>92</v>
      </c>
      <c r="J8" s="32">
        <v>93</v>
      </c>
      <c r="K8" s="34">
        <v>96</v>
      </c>
      <c r="L8" s="7">
        <f t="shared" si="0"/>
        <v>561</v>
      </c>
      <c r="M8" t="s">
        <v>119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>
      <c r="A9" s="17">
        <v>4</v>
      </c>
      <c r="B9" s="30" t="s">
        <v>25</v>
      </c>
      <c r="C9" s="50">
        <v>1962</v>
      </c>
      <c r="D9" s="44" t="s">
        <v>26</v>
      </c>
      <c r="E9" s="44" t="s">
        <v>24</v>
      </c>
      <c r="F9" s="32">
        <f>8+8+8+9+9+9+9+9+9+10</f>
        <v>88</v>
      </c>
      <c r="G9" s="32">
        <f>100</f>
        <v>100</v>
      </c>
      <c r="H9" s="32">
        <f>10+9+9+9+9+9+9+8+8+8</f>
        <v>88</v>
      </c>
      <c r="I9" s="32">
        <f>48+48</f>
        <v>96</v>
      </c>
      <c r="J9" s="32">
        <f>30+16+20+18+8</f>
        <v>92</v>
      </c>
      <c r="K9" s="34">
        <f>30+18+47</f>
        <v>95</v>
      </c>
      <c r="L9" s="7">
        <f t="shared" si="0"/>
        <v>559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>
      <c r="A10" s="17">
        <v>5</v>
      </c>
      <c r="B10" s="35" t="s">
        <v>51</v>
      </c>
      <c r="C10" s="51">
        <v>1949</v>
      </c>
      <c r="D10" s="62" t="s">
        <v>52</v>
      </c>
      <c r="E10" s="63" t="s">
        <v>53</v>
      </c>
      <c r="F10" s="15">
        <v>94</v>
      </c>
      <c r="G10" s="15">
        <v>87</v>
      </c>
      <c r="H10" s="15">
        <f>10+9+9+9+9+9+8+8+7+7</f>
        <v>85</v>
      </c>
      <c r="I10" s="15">
        <v>98</v>
      </c>
      <c r="J10" s="15">
        <v>97</v>
      </c>
      <c r="K10" s="64">
        <v>97</v>
      </c>
      <c r="L10" s="7">
        <f t="shared" si="0"/>
        <v>558</v>
      </c>
      <c r="M10" t="s">
        <v>115</v>
      </c>
      <c r="N10" s="4" t="s">
        <v>116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>
      <c r="A11" s="17">
        <v>6</v>
      </c>
      <c r="B11" s="30" t="s">
        <v>16</v>
      </c>
      <c r="C11" s="50">
        <v>1958</v>
      </c>
      <c r="D11" s="44" t="s">
        <v>57</v>
      </c>
      <c r="E11" s="44"/>
      <c r="F11" s="32">
        <v>97</v>
      </c>
      <c r="G11" s="32">
        <v>100</v>
      </c>
      <c r="H11" s="32">
        <f>45+9+8+8+8+7</f>
        <v>85</v>
      </c>
      <c r="I11" s="32">
        <v>96</v>
      </c>
      <c r="J11" s="32">
        <v>91</v>
      </c>
      <c r="K11" s="34">
        <v>89</v>
      </c>
      <c r="L11" s="7">
        <f t="shared" si="0"/>
        <v>558</v>
      </c>
      <c r="M11" t="s">
        <v>115</v>
      </c>
      <c r="N11" s="4" t="s">
        <v>117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>
      <c r="A12" s="17">
        <v>7</v>
      </c>
      <c r="B12" s="30" t="s">
        <v>39</v>
      </c>
      <c r="C12" s="50">
        <v>1961</v>
      </c>
      <c r="D12" s="42" t="s">
        <v>40</v>
      </c>
      <c r="E12" s="43" t="s">
        <v>41</v>
      </c>
      <c r="F12" s="32">
        <f>50+10+9+9+9+9</f>
        <v>96</v>
      </c>
      <c r="G12" s="32">
        <f>9+8+8+8+10+30+9+9</f>
        <v>91</v>
      </c>
      <c r="H12" s="32">
        <f>9+9+9+9+9+9+9+9+8+8</f>
        <v>88</v>
      </c>
      <c r="I12" s="32">
        <f>30+16+20+27</f>
        <v>93</v>
      </c>
      <c r="J12" s="32">
        <f>10+27+8+10+36</f>
        <v>91</v>
      </c>
      <c r="K12" s="34">
        <f>20+9+8+7+50</f>
        <v>94</v>
      </c>
      <c r="L12" s="7">
        <f t="shared" si="0"/>
        <v>553</v>
      </c>
      <c r="M12" t="s">
        <v>95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>
      <c r="A13" s="17">
        <v>8</v>
      </c>
      <c r="B13" s="35" t="s">
        <v>66</v>
      </c>
      <c r="C13" s="50">
        <v>1953</v>
      </c>
      <c r="D13" s="44" t="s">
        <v>67</v>
      </c>
      <c r="E13" s="44" t="s">
        <v>45</v>
      </c>
      <c r="F13" s="32">
        <f>50+45</f>
        <v>95</v>
      </c>
      <c r="G13" s="32">
        <f>44+50</f>
        <v>94</v>
      </c>
      <c r="H13" s="32">
        <f>48+9+9+9+8+7</f>
        <v>90</v>
      </c>
      <c r="I13" s="32">
        <f>10+10+9+8+7+10+10+10+9+9</f>
        <v>92</v>
      </c>
      <c r="J13" s="32">
        <f>10+10+10+10+9+9+8+8+8+7</f>
        <v>89</v>
      </c>
      <c r="K13" s="34">
        <f>10+9+9+9+8+10+10+10+9+9</f>
        <v>93</v>
      </c>
      <c r="L13" s="7">
        <f t="shared" si="0"/>
        <v>553</v>
      </c>
      <c r="M13" t="s">
        <v>114</v>
      </c>
    </row>
    <row r="14" spans="1:27">
      <c r="A14" s="17">
        <v>9</v>
      </c>
      <c r="B14" s="30" t="s">
        <v>74</v>
      </c>
      <c r="C14" s="50">
        <v>1969</v>
      </c>
      <c r="D14" s="44" t="s">
        <v>75</v>
      </c>
      <c r="E14" s="44" t="s">
        <v>76</v>
      </c>
      <c r="F14" s="32">
        <f>50+20+27</f>
        <v>97</v>
      </c>
      <c r="G14" s="32">
        <f>41+50</f>
        <v>91</v>
      </c>
      <c r="H14" s="32">
        <f>45+36+8</f>
        <v>89</v>
      </c>
      <c r="I14" s="32">
        <f>60+9+9+9+5</f>
        <v>92</v>
      </c>
      <c r="J14" s="32">
        <f>50+9+9+9+9+8</f>
        <v>94</v>
      </c>
      <c r="K14" s="34">
        <f>10+9+8+6+8+10+10+9+9+7</f>
        <v>86</v>
      </c>
      <c r="L14" s="7">
        <f t="shared" si="0"/>
        <v>549</v>
      </c>
      <c r="M14" t="s">
        <v>95</v>
      </c>
    </row>
    <row r="15" spans="1:27">
      <c r="A15" s="17">
        <v>10</v>
      </c>
      <c r="B15" s="35" t="s">
        <v>68</v>
      </c>
      <c r="C15" s="50">
        <v>1979</v>
      </c>
      <c r="D15" s="44" t="s">
        <v>69</v>
      </c>
      <c r="E15" s="44" t="s">
        <v>62</v>
      </c>
      <c r="F15" s="32">
        <f>48+45</f>
        <v>93</v>
      </c>
      <c r="G15" s="32">
        <f>9+9+9+8+8+49</f>
        <v>92</v>
      </c>
      <c r="H15" s="32">
        <f>45+9+9+9+8+8</f>
        <v>88</v>
      </c>
      <c r="I15" s="32">
        <f>10+9+9+8+8+10+10+10+10+9</f>
        <v>93</v>
      </c>
      <c r="J15" s="32">
        <f>50+9+9+8+8+8</f>
        <v>92</v>
      </c>
      <c r="K15" s="39">
        <f>50+9+9+9+7+7</f>
        <v>91</v>
      </c>
      <c r="L15" s="7">
        <f t="shared" si="0"/>
        <v>549</v>
      </c>
      <c r="M15" t="s">
        <v>96</v>
      </c>
    </row>
    <row r="16" spans="1:27">
      <c r="A16" s="17">
        <v>11</v>
      </c>
      <c r="B16" s="35" t="s">
        <v>59</v>
      </c>
      <c r="C16" s="51">
        <v>1969</v>
      </c>
      <c r="D16" s="52" t="s">
        <v>60</v>
      </c>
      <c r="E16" s="52" t="s">
        <v>61</v>
      </c>
      <c r="F16" s="15">
        <f>50+10+9+9+9+9</f>
        <v>96</v>
      </c>
      <c r="G16" s="15">
        <f>9+8+8+8+7+50</f>
        <v>90</v>
      </c>
      <c r="H16" s="15">
        <f>20+9+9+9+10+8+8+8+6</f>
        <v>87</v>
      </c>
      <c r="I16" s="15">
        <f>10+10+9+9+9+9+9+9+8+8</f>
        <v>90</v>
      </c>
      <c r="J16" s="15">
        <f>10+10+9+8+8+10+10+9+9+9</f>
        <v>92</v>
      </c>
      <c r="K16" s="40">
        <f>10+10+10+7+7+10+10+10+9+9</f>
        <v>92</v>
      </c>
      <c r="L16" s="7">
        <f t="shared" si="0"/>
        <v>547</v>
      </c>
    </row>
    <row r="17" spans="1:15">
      <c r="A17" s="17">
        <v>12</v>
      </c>
      <c r="B17" s="35" t="s">
        <v>30</v>
      </c>
      <c r="C17" s="50">
        <v>1974</v>
      </c>
      <c r="D17" s="44" t="s">
        <v>31</v>
      </c>
      <c r="E17" s="44" t="s">
        <v>32</v>
      </c>
      <c r="F17" s="32">
        <f>99</f>
        <v>99</v>
      </c>
      <c r="G17" s="32">
        <f>50+9+9+9+9+8</f>
        <v>94</v>
      </c>
      <c r="H17" s="32">
        <f>50+9+9+9+9+9</f>
        <v>95</v>
      </c>
      <c r="I17" s="32">
        <f>48+18+16+6</f>
        <v>88</v>
      </c>
      <c r="J17" s="32">
        <f>20+18+8+10+18+8+7</f>
        <v>89</v>
      </c>
      <c r="K17" s="34">
        <f>18+8+7+6+10+18+14</f>
        <v>81</v>
      </c>
      <c r="L17" s="7">
        <f t="shared" si="0"/>
        <v>546</v>
      </c>
    </row>
    <row r="18" spans="1:15">
      <c r="A18" s="17">
        <v>13</v>
      </c>
      <c r="B18" s="30" t="s">
        <v>63</v>
      </c>
      <c r="C18" s="50">
        <v>1966</v>
      </c>
      <c r="D18" s="44" t="s">
        <v>64</v>
      </c>
      <c r="E18" s="44" t="s">
        <v>65</v>
      </c>
      <c r="F18" s="32">
        <f>50+10+9+9+9+9</f>
        <v>96</v>
      </c>
      <c r="G18" s="32">
        <f>9+9+8+8+8+49</f>
        <v>91</v>
      </c>
      <c r="H18" s="32">
        <f>9+9+9+9+9+9+8+8+8+8</f>
        <v>86</v>
      </c>
      <c r="I18" s="32">
        <f>10+10+9+9+9+10+9+9+9+8</f>
        <v>92</v>
      </c>
      <c r="J18" s="32">
        <f>10+10+9+9+9+9+9+8+8+8</f>
        <v>89</v>
      </c>
      <c r="K18" s="34">
        <f>10+10+9+9+8+10+9+9+10+7</f>
        <v>91</v>
      </c>
      <c r="L18" s="7">
        <f t="shared" si="0"/>
        <v>545</v>
      </c>
    </row>
    <row r="19" spans="1:15">
      <c r="A19" s="17">
        <v>14</v>
      </c>
      <c r="B19" s="30" t="s">
        <v>77</v>
      </c>
      <c r="C19" s="50">
        <v>1964</v>
      </c>
      <c r="D19" s="44" t="s">
        <v>91</v>
      </c>
      <c r="E19" s="44" t="s">
        <v>18</v>
      </c>
      <c r="F19" s="32">
        <f>50+10+36</f>
        <v>96</v>
      </c>
      <c r="G19" s="32">
        <f>9+8+30+40+9</f>
        <v>96</v>
      </c>
      <c r="H19" s="32">
        <f>45+32+7</f>
        <v>84</v>
      </c>
      <c r="I19" s="32">
        <f>30+18+10+27+8</f>
        <v>93</v>
      </c>
      <c r="J19" s="32">
        <f>27+14+10+18+8+7</f>
        <v>84</v>
      </c>
      <c r="K19" s="34">
        <f>10+36+10+27+8</f>
        <v>91</v>
      </c>
      <c r="L19" s="7">
        <f t="shared" si="0"/>
        <v>544</v>
      </c>
    </row>
    <row r="20" spans="1:15">
      <c r="A20" s="17">
        <v>15</v>
      </c>
      <c r="B20" s="30" t="s">
        <v>17</v>
      </c>
      <c r="C20" s="50">
        <v>1991</v>
      </c>
      <c r="D20" s="44">
        <v>33558</v>
      </c>
      <c r="E20" s="44" t="s">
        <v>18</v>
      </c>
      <c r="F20" s="32">
        <f>30+18+9+9+9+9+8</f>
        <v>92</v>
      </c>
      <c r="G20" s="32">
        <f>8+8+8+8+8+40+9</f>
        <v>89</v>
      </c>
      <c r="H20" s="32">
        <f>9+9+9+9+9+8+8+7+7+7</f>
        <v>82</v>
      </c>
      <c r="I20" s="32">
        <f>20+27+20+9+16</f>
        <v>92</v>
      </c>
      <c r="J20" s="32">
        <f>30+9+8+30+18</f>
        <v>95</v>
      </c>
      <c r="K20" s="34">
        <f>36+8+30+9+8</f>
        <v>91</v>
      </c>
      <c r="L20" s="7">
        <f t="shared" si="0"/>
        <v>541</v>
      </c>
    </row>
    <row r="21" spans="1:15">
      <c r="A21" s="17">
        <v>16</v>
      </c>
      <c r="B21" s="30" t="s">
        <v>48</v>
      </c>
      <c r="C21" s="50">
        <v>1955</v>
      </c>
      <c r="D21" s="44" t="s">
        <v>49</v>
      </c>
      <c r="E21" s="44" t="s">
        <v>50</v>
      </c>
      <c r="F21" s="32">
        <f>50+45</f>
        <v>95</v>
      </c>
      <c r="G21" s="32">
        <f>9+9+8+7+7+49</f>
        <v>89</v>
      </c>
      <c r="H21" s="32">
        <f>45+9+8+8+8+8</f>
        <v>86</v>
      </c>
      <c r="I21" s="32">
        <f>10+10+9+9+6+10+10+10+9+6</f>
        <v>89</v>
      </c>
      <c r="J21" s="32">
        <f>10+9+9+8+8+10+9+8+8+8</f>
        <v>87</v>
      </c>
      <c r="K21" s="34">
        <f>10+9+8+8+8+10+10+9+9+9</f>
        <v>90</v>
      </c>
      <c r="L21" s="7">
        <f t="shared" si="0"/>
        <v>536</v>
      </c>
    </row>
    <row r="22" spans="1:15">
      <c r="A22" s="17">
        <v>17</v>
      </c>
      <c r="B22" s="35" t="s">
        <v>83</v>
      </c>
      <c r="C22" s="50">
        <v>1988</v>
      </c>
      <c r="D22" s="44" t="s">
        <v>84</v>
      </c>
      <c r="E22" s="44" t="s">
        <v>18</v>
      </c>
      <c r="F22" s="32">
        <f>30+18+45</f>
        <v>93</v>
      </c>
      <c r="G22" s="32">
        <f>27+16+50</f>
        <v>93</v>
      </c>
      <c r="H22" s="32">
        <f>20+18+8+27+16</f>
        <v>89</v>
      </c>
      <c r="I22" s="32">
        <f>20+9+8+8+40+8</f>
        <v>93</v>
      </c>
      <c r="J22" s="32">
        <f>10+9+9+8+8+10+10+9+8+6</f>
        <v>87</v>
      </c>
      <c r="K22" s="34">
        <f>10+8+8+7+6+10+9+8+8+6</f>
        <v>80</v>
      </c>
      <c r="L22" s="7">
        <f t="shared" si="0"/>
        <v>535</v>
      </c>
      <c r="O22" s="4"/>
    </row>
    <row r="23" spans="1:15">
      <c r="A23" s="17">
        <v>18</v>
      </c>
      <c r="B23" s="30" t="s">
        <v>87</v>
      </c>
      <c r="C23" s="50">
        <v>1970</v>
      </c>
      <c r="D23" s="44" t="s">
        <v>88</v>
      </c>
      <c r="E23" s="44" t="s">
        <v>82</v>
      </c>
      <c r="F23" s="32">
        <f>50+36+8</f>
        <v>94</v>
      </c>
      <c r="G23" s="32">
        <f>24+14+50</f>
        <v>88</v>
      </c>
      <c r="H23" s="32">
        <f>20+27+9+16+14</f>
        <v>86</v>
      </c>
      <c r="I23" s="32">
        <f>20+18+8+10+36</f>
        <v>92</v>
      </c>
      <c r="J23" s="32">
        <f>10+17+13+20+18+8</f>
        <v>86</v>
      </c>
      <c r="K23" s="34">
        <f>10+36+10+9+8+14</f>
        <v>87</v>
      </c>
      <c r="L23" s="7">
        <f t="shared" si="0"/>
        <v>533</v>
      </c>
    </row>
    <row r="24" spans="1:15">
      <c r="A24" s="17">
        <v>19</v>
      </c>
      <c r="B24" s="30" t="s">
        <v>42</v>
      </c>
      <c r="C24" s="50">
        <v>1952</v>
      </c>
      <c r="D24" s="44" t="s">
        <v>43</v>
      </c>
      <c r="E24" s="44" t="s">
        <v>15</v>
      </c>
      <c r="F24" s="32">
        <f>10+10+10+10+10+9+9+9+9+9</f>
        <v>95</v>
      </c>
      <c r="G24" s="32">
        <f>9+8+7+7+6+10+10+10+9+9</f>
        <v>85</v>
      </c>
      <c r="H24" s="32">
        <f>44+8+8+8+8+8</f>
        <v>84</v>
      </c>
      <c r="I24" s="32">
        <f>20+9+8+7+30+9+8</f>
        <v>91</v>
      </c>
      <c r="J24" s="32">
        <f>20+9+16+20+18+8</f>
        <v>91</v>
      </c>
      <c r="K24" s="39">
        <f>20+8+7+6+27+8+6</f>
        <v>82</v>
      </c>
      <c r="L24" s="3">
        <f t="shared" si="0"/>
        <v>528</v>
      </c>
    </row>
    <row r="25" spans="1:15">
      <c r="A25" s="17">
        <v>20</v>
      </c>
      <c r="B25" s="35" t="s">
        <v>44</v>
      </c>
      <c r="C25" s="50">
        <v>1949</v>
      </c>
      <c r="D25" s="44" t="s">
        <v>34</v>
      </c>
      <c r="E25" s="44" t="s">
        <v>45</v>
      </c>
      <c r="F25" s="32">
        <f>50+46</f>
        <v>96</v>
      </c>
      <c r="G25" s="32">
        <f>9+9+8+6+6+49</f>
        <v>87</v>
      </c>
      <c r="H25" s="32">
        <f>45+9+9+8+8+8</f>
        <v>87</v>
      </c>
      <c r="I25" s="32">
        <f>10+9+24+20+18+7</f>
        <v>88</v>
      </c>
      <c r="J25" s="32">
        <f>20+18+6+18+8+7+5</f>
        <v>82</v>
      </c>
      <c r="K25" s="39">
        <f>18+16+7+30+9+7</f>
        <v>87</v>
      </c>
      <c r="L25" s="3">
        <f t="shared" si="0"/>
        <v>527</v>
      </c>
    </row>
    <row r="26" spans="1:15">
      <c r="A26" s="17">
        <v>21</v>
      </c>
      <c r="B26" s="30" t="s">
        <v>56</v>
      </c>
      <c r="C26" s="50">
        <v>1967</v>
      </c>
      <c r="D26" s="44" t="s">
        <v>57</v>
      </c>
      <c r="E26" s="44"/>
      <c r="F26" s="32">
        <f>50+45</f>
        <v>95</v>
      </c>
      <c r="G26" s="32">
        <f>43+50</f>
        <v>93</v>
      </c>
      <c r="H26" s="32">
        <f>46+9+9+9+8+8</f>
        <v>89</v>
      </c>
      <c r="I26" s="32">
        <f>10+9+8+7+7+10+10+10+9+8</f>
        <v>88</v>
      </c>
      <c r="J26" s="32">
        <f>9+9+8+7+7+9+9+8+8+7</f>
        <v>81</v>
      </c>
      <c r="K26" s="34">
        <f>9+9+8+8+7+9+9+9+7+5</f>
        <v>80</v>
      </c>
      <c r="L26" s="7">
        <f t="shared" si="0"/>
        <v>526</v>
      </c>
    </row>
    <row r="27" spans="1:15">
      <c r="A27" s="41">
        <v>22</v>
      </c>
      <c r="B27" s="30" t="s">
        <v>78</v>
      </c>
      <c r="C27" s="50">
        <v>1989</v>
      </c>
      <c r="D27" s="44" t="s">
        <v>79</v>
      </c>
      <c r="E27" s="44" t="s">
        <v>18</v>
      </c>
      <c r="F27" s="32">
        <f>10+36+45</f>
        <v>91</v>
      </c>
      <c r="G27" s="32">
        <f>18+8+14+40+9</f>
        <v>89</v>
      </c>
      <c r="H27" s="32">
        <f>18+24+16+14+8</f>
        <v>80</v>
      </c>
      <c r="I27" s="32">
        <f>20+9+8+8+10+9+9+9+7</f>
        <v>89</v>
      </c>
      <c r="J27" s="32">
        <f>9+9+8+8+8+30+9+5</f>
        <v>86</v>
      </c>
      <c r="K27" s="34">
        <f>9+9+9+5+9+9+9+9+7</f>
        <v>75</v>
      </c>
      <c r="L27" s="7">
        <f t="shared" si="0"/>
        <v>510</v>
      </c>
      <c r="O27" t="s">
        <v>89</v>
      </c>
    </row>
    <row r="28" spans="1:15">
      <c r="A28" s="41">
        <v>23</v>
      </c>
      <c r="B28" s="30" t="s">
        <v>71</v>
      </c>
      <c r="C28" s="50">
        <v>1966</v>
      </c>
      <c r="D28" s="44" t="s">
        <v>72</v>
      </c>
      <c r="E28" s="44" t="s">
        <v>18</v>
      </c>
      <c r="F28" s="32">
        <f>50+48</f>
        <v>98</v>
      </c>
      <c r="G28" s="32">
        <f>9+7+6+6+3+50</f>
        <v>81</v>
      </c>
      <c r="H28" s="32">
        <f>9+9+9+9+8+8+8+7+7+7</f>
        <v>81</v>
      </c>
      <c r="I28" s="32">
        <f>9+8+8+8+7+9+8+8+8+7</f>
        <v>80</v>
      </c>
      <c r="J28" s="32">
        <f>9+9+7+7+6+10+9+8+8+0</f>
        <v>73</v>
      </c>
      <c r="K28" s="34">
        <f>10+9+9+8+7+10+9+9+8+7</f>
        <v>86</v>
      </c>
      <c r="L28" s="7">
        <f t="shared" si="0"/>
        <v>499</v>
      </c>
    </row>
    <row r="29" spans="1:15">
      <c r="A29" s="41">
        <v>24</v>
      </c>
      <c r="B29" s="30" t="s">
        <v>19</v>
      </c>
      <c r="C29" s="50">
        <v>1955</v>
      </c>
      <c r="D29" s="44" t="s">
        <v>20</v>
      </c>
      <c r="E29" s="44" t="s">
        <v>21</v>
      </c>
      <c r="F29" s="32">
        <f>49+9+9+9+9+9</f>
        <v>94</v>
      </c>
      <c r="G29" s="32">
        <f>9+9+8+8+7+50</f>
        <v>91</v>
      </c>
      <c r="H29" s="32">
        <f>9+10+9+9+9+9+9+9+8+8</f>
        <v>89</v>
      </c>
      <c r="I29" s="32">
        <f>44+16+12+5</f>
        <v>77</v>
      </c>
      <c r="J29" s="32">
        <f>9+8+12+6+16+7+5+0</f>
        <v>63</v>
      </c>
      <c r="K29" s="34">
        <f>10+18+7+0+9+8+12+6</f>
        <v>70</v>
      </c>
      <c r="L29" s="7">
        <f t="shared" si="0"/>
        <v>484</v>
      </c>
    </row>
    <row r="30" spans="1:15" ht="15.75" thickBot="1">
      <c r="A30" s="41">
        <v>25</v>
      </c>
      <c r="B30" s="35" t="s">
        <v>80</v>
      </c>
      <c r="C30" s="53">
        <v>1973</v>
      </c>
      <c r="D30" s="54" t="s">
        <v>81</v>
      </c>
      <c r="E30" s="54" t="s">
        <v>82</v>
      </c>
      <c r="F30" s="18">
        <f>50+36+8</f>
        <v>94</v>
      </c>
      <c r="G30" s="18">
        <f>40+50</f>
        <v>90</v>
      </c>
      <c r="H30" s="18">
        <f>10+36+10+9+16+7</f>
        <v>88</v>
      </c>
      <c r="I30" s="18">
        <f>7+7+6+5+8+7+6+5</f>
        <v>51</v>
      </c>
      <c r="J30" s="18">
        <f>9+7+7+6+5+5</f>
        <v>39</v>
      </c>
      <c r="K30" s="13">
        <f>8+6+5+10+8+7</f>
        <v>44</v>
      </c>
      <c r="L30" s="6">
        <f t="shared" si="0"/>
        <v>406</v>
      </c>
    </row>
    <row r="31" spans="1:15">
      <c r="A31" s="21"/>
      <c r="B31" s="4"/>
      <c r="C31" s="4"/>
      <c r="D31" s="4"/>
      <c r="E31" s="4"/>
      <c r="F31" s="4"/>
      <c r="G31" s="4"/>
      <c r="H31" s="4"/>
      <c r="I31" s="4"/>
      <c r="J31" s="4"/>
      <c r="K31" s="21"/>
      <c r="L31" s="4"/>
      <c r="M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6">
      <c r="A33" s="4"/>
      <c r="B33" s="78" t="s">
        <v>112</v>
      </c>
      <c r="C33" s="4"/>
      <c r="D33" s="79" t="s">
        <v>113</v>
      </c>
      <c r="E33" s="4"/>
      <c r="F33" s="4"/>
      <c r="G33" s="4"/>
      <c r="H33" s="4"/>
      <c r="I33" s="4"/>
      <c r="J33" s="4"/>
      <c r="K33" s="4"/>
      <c r="L33" s="4"/>
      <c r="M33" s="4"/>
    </row>
    <row r="34" spans="1:1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6" ht="15.75" thickBot="1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12"/>
      <c r="M35" s="4"/>
    </row>
    <row r="36" spans="1:16">
      <c r="A36" s="87" t="s">
        <v>0</v>
      </c>
      <c r="B36" s="89" t="s">
        <v>1</v>
      </c>
      <c r="C36" s="89" t="s">
        <v>2</v>
      </c>
      <c r="D36" s="89" t="s">
        <v>3</v>
      </c>
      <c r="E36" s="89" t="s">
        <v>4</v>
      </c>
      <c r="F36" s="93" t="s">
        <v>5</v>
      </c>
      <c r="G36" s="94"/>
      <c r="H36" s="95"/>
      <c r="I36" s="94" t="s">
        <v>6</v>
      </c>
      <c r="J36" s="94"/>
      <c r="K36" s="96"/>
      <c r="L36" s="80" t="s">
        <v>90</v>
      </c>
    </row>
    <row r="37" spans="1:16" ht="15.75" thickBot="1">
      <c r="A37" s="88"/>
      <c r="B37" s="90"/>
      <c r="C37" s="90"/>
      <c r="D37" s="90"/>
      <c r="E37" s="90"/>
      <c r="F37" s="22" t="s">
        <v>7</v>
      </c>
      <c r="G37" s="22" t="s">
        <v>8</v>
      </c>
      <c r="H37" s="22" t="s">
        <v>9</v>
      </c>
      <c r="I37" s="22" t="s">
        <v>10</v>
      </c>
      <c r="J37" s="22" t="s">
        <v>11</v>
      </c>
      <c r="K37" s="23" t="s">
        <v>12</v>
      </c>
      <c r="L37" s="81"/>
    </row>
    <row r="38" spans="1:16">
      <c r="A38" s="17">
        <v>1</v>
      </c>
      <c r="B38" s="28" t="s">
        <v>13</v>
      </c>
      <c r="C38" s="29">
        <v>1958</v>
      </c>
      <c r="D38" s="38" t="s">
        <v>14</v>
      </c>
      <c r="E38" s="38" t="s">
        <v>15</v>
      </c>
      <c r="F38" s="26">
        <f>8+9+9+9+9+9+40</f>
        <v>93</v>
      </c>
      <c r="G38" s="26">
        <f>100</f>
        <v>100</v>
      </c>
      <c r="H38" s="26">
        <f>49+9+9+9+9+8</f>
        <v>93</v>
      </c>
      <c r="I38" s="26">
        <f>20+18+8+20+16+9</f>
        <v>91</v>
      </c>
      <c r="J38" s="26">
        <f>40+8+40+8</f>
        <v>96</v>
      </c>
      <c r="K38" s="27">
        <f>20+9+7+5+30+18</f>
        <v>89</v>
      </c>
      <c r="L38" s="7">
        <f t="shared" ref="L38:L46" si="1">SUM(F38:K38)</f>
        <v>562</v>
      </c>
      <c r="N38" s="4"/>
    </row>
    <row r="39" spans="1:16">
      <c r="A39" s="17">
        <v>2</v>
      </c>
      <c r="B39" s="30" t="s">
        <v>27</v>
      </c>
      <c r="C39" s="1">
        <v>1994</v>
      </c>
      <c r="D39" s="31" t="s">
        <v>28</v>
      </c>
      <c r="E39" s="31" t="s">
        <v>29</v>
      </c>
      <c r="F39" s="32">
        <f>20+9+9+9+9+9+9+9+9</f>
        <v>92</v>
      </c>
      <c r="G39" s="32">
        <f>8+8+7+7+7+50</f>
        <v>87</v>
      </c>
      <c r="H39" s="32">
        <f>10+9+9+9+9+8+8+8+8+8</f>
        <v>86</v>
      </c>
      <c r="I39" s="32">
        <f>20+9+16+10+27+8</f>
        <v>90</v>
      </c>
      <c r="J39" s="32">
        <f>30+9+8+27+8+7</f>
        <v>89</v>
      </c>
      <c r="K39" s="34">
        <f>49+20+18+8</f>
        <v>95</v>
      </c>
      <c r="L39" s="7">
        <f t="shared" si="1"/>
        <v>539</v>
      </c>
    </row>
    <row r="40" spans="1:16">
      <c r="A40" s="17">
        <v>3</v>
      </c>
      <c r="B40" s="30" t="s">
        <v>70</v>
      </c>
      <c r="C40" s="1">
        <v>1957</v>
      </c>
      <c r="D40" s="31"/>
      <c r="E40" s="31" t="s">
        <v>18</v>
      </c>
      <c r="F40" s="32">
        <f>20+9+9+9+9+8+8+8+8</f>
        <v>88</v>
      </c>
      <c r="G40" s="32">
        <f>7+7+7+7+5+50</f>
        <v>83</v>
      </c>
      <c r="H40" s="32">
        <f>10+9+9+8+8+8+8+8+8+6</f>
        <v>82</v>
      </c>
      <c r="I40" s="32">
        <f>9+9+7+7+6+30+8+6</f>
        <v>82</v>
      </c>
      <c r="J40" s="32">
        <f>20+9+9+8+20+9+9+8</f>
        <v>92</v>
      </c>
      <c r="K40" s="34">
        <f>50+9+8+8+8+7</f>
        <v>90</v>
      </c>
      <c r="L40" s="7">
        <f t="shared" si="1"/>
        <v>517</v>
      </c>
    </row>
    <row r="41" spans="1:16">
      <c r="A41" s="17">
        <v>4</v>
      </c>
      <c r="B41" s="16" t="s">
        <v>46</v>
      </c>
      <c r="C41" s="17">
        <v>1998</v>
      </c>
      <c r="D41" s="19" t="s">
        <v>47</v>
      </c>
      <c r="E41" s="19" t="s">
        <v>18</v>
      </c>
      <c r="F41" s="14">
        <f>10+9+9+9+9+9+9+8+8+8</f>
        <v>88</v>
      </c>
      <c r="G41" s="14">
        <f>8+8+8+7+7+30+9+9</f>
        <v>86</v>
      </c>
      <c r="H41" s="14">
        <f>45+8+8+8+7+7</f>
        <v>83</v>
      </c>
      <c r="I41" s="14">
        <f>10+18+8+7+10+27+8</f>
        <v>88</v>
      </c>
      <c r="J41" s="14">
        <f>20+27+30+9+8</f>
        <v>94</v>
      </c>
      <c r="K41" s="3">
        <f>10+18+6+5+9+16+7+6</f>
        <v>77</v>
      </c>
      <c r="L41" s="7">
        <f t="shared" si="1"/>
        <v>516</v>
      </c>
    </row>
    <row r="42" spans="1:16">
      <c r="A42" s="17">
        <v>5</v>
      </c>
      <c r="B42" s="30" t="s">
        <v>73</v>
      </c>
      <c r="C42" s="1">
        <v>1994</v>
      </c>
      <c r="D42" s="31">
        <v>36959</v>
      </c>
      <c r="E42" s="31" t="s">
        <v>18</v>
      </c>
      <c r="F42" s="32">
        <f>50+36+8</f>
        <v>94</v>
      </c>
      <c r="G42" s="32">
        <f>8+12+14+40+9</f>
        <v>83</v>
      </c>
      <c r="H42" s="32">
        <f>27+16+24+14</f>
        <v>81</v>
      </c>
      <c r="I42" s="32">
        <f>9+24+7+20+16+6</f>
        <v>82</v>
      </c>
      <c r="J42" s="32">
        <f>10+18+8+6+40+6</f>
        <v>88</v>
      </c>
      <c r="K42" s="39">
        <f>10+9+16+5+27+7+6</f>
        <v>80</v>
      </c>
      <c r="L42" s="7">
        <f t="shared" si="1"/>
        <v>508</v>
      </c>
    </row>
    <row r="43" spans="1:16">
      <c r="A43" s="17">
        <v>6</v>
      </c>
      <c r="B43" s="30" t="s">
        <v>54</v>
      </c>
      <c r="C43" s="1">
        <v>1995</v>
      </c>
      <c r="D43" s="31" t="s">
        <v>55</v>
      </c>
      <c r="E43" s="31" t="s">
        <v>15</v>
      </c>
      <c r="F43" s="32">
        <f>49+43</f>
        <v>92</v>
      </c>
      <c r="G43" s="32">
        <f>8+8+8+8+7+30+9+9</f>
        <v>87</v>
      </c>
      <c r="H43" s="32">
        <f>44+8+8+8+8+7</f>
        <v>83</v>
      </c>
      <c r="I43" s="32">
        <f>10+8+8+7+6+10+8+8+7+5</f>
        <v>77</v>
      </c>
      <c r="J43" s="32">
        <f>10+9+9+8+0+10+9+9+7+7</f>
        <v>78</v>
      </c>
      <c r="K43" s="34">
        <f>8+8+7+6+5+10+10+9+8+8</f>
        <v>79</v>
      </c>
      <c r="L43" s="7">
        <f t="shared" si="1"/>
        <v>496</v>
      </c>
    </row>
    <row r="44" spans="1:16">
      <c r="A44" s="17">
        <v>7</v>
      </c>
      <c r="B44" s="30" t="s">
        <v>33</v>
      </c>
      <c r="C44" s="1">
        <v>1998</v>
      </c>
      <c r="D44" s="31" t="s">
        <v>34</v>
      </c>
      <c r="E44" s="31" t="s">
        <v>32</v>
      </c>
      <c r="F44" s="32">
        <f>9+9+9+9+9+9+8+8+8+8</f>
        <v>86</v>
      </c>
      <c r="G44" s="32">
        <f>7+7+7+5+5+50</f>
        <v>81</v>
      </c>
      <c r="H44" s="32">
        <f>9+9+8+8+7+6+6+5+4+1</f>
        <v>63</v>
      </c>
      <c r="I44" s="32">
        <f>20+18+7+20+9+6+5</f>
        <v>85</v>
      </c>
      <c r="J44" s="32">
        <f>9+14+6+10+9+6</f>
        <v>54</v>
      </c>
      <c r="K44" s="34">
        <f>9+16+8+6+20+9+16</f>
        <v>84</v>
      </c>
      <c r="L44" s="7">
        <f t="shared" si="1"/>
        <v>453</v>
      </c>
    </row>
    <row r="45" spans="1:16">
      <c r="A45" s="17">
        <v>8</v>
      </c>
      <c r="B45" s="30" t="s">
        <v>35</v>
      </c>
      <c r="C45" s="1">
        <v>1996</v>
      </c>
      <c r="D45" s="31" t="s">
        <v>36</v>
      </c>
      <c r="E45" s="31" t="s">
        <v>32</v>
      </c>
      <c r="F45" s="32">
        <f>10+9+9+9+8+7+7+7+7+6</f>
        <v>79</v>
      </c>
      <c r="G45" s="32">
        <f>6+6+5+5+3+10+9+9+9+9</f>
        <v>71</v>
      </c>
      <c r="H45" s="32">
        <f>9+8+8+7+5+5+5+5+4+2</f>
        <v>58</v>
      </c>
      <c r="I45" s="32">
        <f>20+8+12+7+6+5</f>
        <v>58</v>
      </c>
      <c r="J45" s="32">
        <f>9+8+7+5+16+14+5</f>
        <v>64</v>
      </c>
      <c r="K45" s="34">
        <f>8+12+8+7+6</f>
        <v>41</v>
      </c>
      <c r="L45" s="7">
        <f t="shared" si="1"/>
        <v>371</v>
      </c>
    </row>
    <row r="46" spans="1:16">
      <c r="A46" s="36">
        <v>9</v>
      </c>
      <c r="B46" s="30" t="s">
        <v>22</v>
      </c>
      <c r="C46" s="1">
        <v>1999</v>
      </c>
      <c r="D46" s="31" t="s">
        <v>23</v>
      </c>
      <c r="E46" s="31" t="s">
        <v>24</v>
      </c>
      <c r="F46" s="32">
        <f>10+9+7+7+7+7+6+6+6+4</f>
        <v>69</v>
      </c>
      <c r="G46" s="32">
        <f>4+4+4+2+2+10+8+7+7+7</f>
        <v>55</v>
      </c>
      <c r="H46" s="32">
        <f>6+6+6+5+2+2+1+7+0+0</f>
        <v>35</v>
      </c>
      <c r="I46" s="32">
        <f>11+8+10</f>
        <v>29</v>
      </c>
      <c r="J46" s="32">
        <f>11+8+6</f>
        <v>25</v>
      </c>
      <c r="K46" s="34">
        <f>7+12+10+9+6</f>
        <v>44</v>
      </c>
      <c r="L46" s="49">
        <f t="shared" si="1"/>
        <v>257</v>
      </c>
    </row>
    <row r="47" spans="1:16">
      <c r="A47" s="1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P47" s="48"/>
    </row>
  </sheetData>
  <sortState ref="B6:L29">
    <sortCondition descending="1" ref="L29"/>
  </sortState>
  <mergeCells count="16">
    <mergeCell ref="L36:L37"/>
    <mergeCell ref="L4:L5"/>
    <mergeCell ref="A4:A5"/>
    <mergeCell ref="B4:B5"/>
    <mergeCell ref="C4:C5"/>
    <mergeCell ref="D4:D5"/>
    <mergeCell ref="E4:E5"/>
    <mergeCell ref="A36:A37"/>
    <mergeCell ref="B36:B37"/>
    <mergeCell ref="C36:C37"/>
    <mergeCell ref="D36:D37"/>
    <mergeCell ref="E36:E37"/>
    <mergeCell ref="F4:H4"/>
    <mergeCell ref="I4:K4"/>
    <mergeCell ref="F36:H36"/>
    <mergeCell ref="I36:K36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H18" sqref="H18"/>
    </sheetView>
  </sheetViews>
  <sheetFormatPr defaultRowHeight="15"/>
  <cols>
    <col min="1" max="1" width="7.7109375" customWidth="1"/>
    <col min="2" max="2" width="19.28515625" customWidth="1"/>
  </cols>
  <sheetData>
    <row r="1" spans="1:15">
      <c r="B1" t="s">
        <v>106</v>
      </c>
    </row>
    <row r="2" spans="1:15">
      <c r="B2" t="s">
        <v>98</v>
      </c>
      <c r="C2" t="s">
        <v>103</v>
      </c>
      <c r="D2" t="s">
        <v>107</v>
      </c>
    </row>
    <row r="3" spans="1:15" ht="15.75" thickBot="1"/>
    <row r="4" spans="1:15">
      <c r="A4" s="83" t="s">
        <v>0</v>
      </c>
      <c r="B4" s="85" t="s">
        <v>1</v>
      </c>
      <c r="C4" s="85" t="s">
        <v>2</v>
      </c>
      <c r="D4" s="85" t="s">
        <v>3</v>
      </c>
      <c r="E4" s="85" t="s">
        <v>4</v>
      </c>
      <c r="F4" s="91" t="s">
        <v>5</v>
      </c>
      <c r="G4" s="91"/>
      <c r="H4" s="91"/>
      <c r="I4" s="91" t="s">
        <v>6</v>
      </c>
      <c r="J4" s="91"/>
      <c r="K4" s="92"/>
      <c r="L4" s="80" t="s">
        <v>90</v>
      </c>
    </row>
    <row r="5" spans="1:15" ht="15.75" thickBot="1">
      <c r="A5" s="84"/>
      <c r="B5" s="86"/>
      <c r="C5" s="86"/>
      <c r="D5" s="86"/>
      <c r="E5" s="86"/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8" t="s">
        <v>12</v>
      </c>
      <c r="L5" s="82"/>
    </row>
    <row r="6" spans="1:15">
      <c r="A6" s="70">
        <v>1</v>
      </c>
      <c r="B6" s="58" t="s">
        <v>39</v>
      </c>
      <c r="C6" s="51">
        <v>1961</v>
      </c>
      <c r="D6" s="37" t="s">
        <v>40</v>
      </c>
      <c r="E6" s="37" t="s">
        <v>41</v>
      </c>
      <c r="F6" s="26">
        <f>50+30+18</f>
        <v>98</v>
      </c>
      <c r="G6" s="26">
        <f>27+16+50</f>
        <v>93</v>
      </c>
      <c r="H6" s="26">
        <f>20+27+9+32</f>
        <v>88</v>
      </c>
      <c r="I6" s="26">
        <f>30+9+8+30+18</f>
        <v>95</v>
      </c>
      <c r="J6" s="26">
        <f>30+18+30+18</f>
        <v>96</v>
      </c>
      <c r="K6" s="27">
        <f>49+10+18+9+8</f>
        <v>94</v>
      </c>
      <c r="L6" s="7">
        <f t="shared" ref="L6:L16" si="0">SUM(F6:K6)</f>
        <v>564</v>
      </c>
    </row>
    <row r="7" spans="1:15">
      <c r="A7" s="47">
        <v>2</v>
      </c>
      <c r="B7" s="30" t="s">
        <v>51</v>
      </c>
      <c r="C7" s="50">
        <v>1949</v>
      </c>
      <c r="D7" s="45" t="s">
        <v>52</v>
      </c>
      <c r="E7" s="46" t="s">
        <v>53</v>
      </c>
      <c r="F7" s="32">
        <f>30+9+7+20+27</f>
        <v>93</v>
      </c>
      <c r="G7" s="32">
        <f>32+7+40+9</f>
        <v>88</v>
      </c>
      <c r="H7" s="32">
        <f>36+8+24+14</f>
        <v>82</v>
      </c>
      <c r="I7" s="32">
        <f>30+16+49</f>
        <v>95</v>
      </c>
      <c r="J7" s="32">
        <f>10+18+16+20+18+8</f>
        <v>90</v>
      </c>
      <c r="K7" s="39">
        <f>30+8+6+47</f>
        <v>91</v>
      </c>
      <c r="L7" s="7">
        <f t="shared" si="0"/>
        <v>539</v>
      </c>
    </row>
    <row r="8" spans="1:15">
      <c r="A8" s="47">
        <v>3</v>
      </c>
      <c r="B8" s="35" t="s">
        <v>58</v>
      </c>
      <c r="C8" s="50">
        <v>1957</v>
      </c>
      <c r="D8" s="31" t="s">
        <v>92</v>
      </c>
      <c r="E8" s="31" t="s">
        <v>62</v>
      </c>
      <c r="F8" s="32">
        <f>50+10+36</f>
        <v>96</v>
      </c>
      <c r="G8" s="32">
        <f>27+16+50</f>
        <v>93</v>
      </c>
      <c r="H8" s="32">
        <f>20+27+27+7+8</f>
        <v>89</v>
      </c>
      <c r="I8" s="32">
        <f>30+17+10+24+6</f>
        <v>87</v>
      </c>
      <c r="J8" s="32">
        <f>10+18+16+27+16</f>
        <v>87</v>
      </c>
      <c r="K8" s="34">
        <f>49+20+17</f>
        <v>86</v>
      </c>
      <c r="L8" s="7">
        <f t="shared" si="0"/>
        <v>538</v>
      </c>
    </row>
    <row r="9" spans="1:15">
      <c r="A9" s="47">
        <v>4</v>
      </c>
      <c r="B9" s="30" t="s">
        <v>68</v>
      </c>
      <c r="C9" s="50">
        <v>1979</v>
      </c>
      <c r="D9" s="45" t="s">
        <v>69</v>
      </c>
      <c r="E9" s="46" t="s">
        <v>62</v>
      </c>
      <c r="F9" s="32">
        <f>40+9+45</f>
        <v>94</v>
      </c>
      <c r="G9" s="32">
        <f>9+32+30+18</f>
        <v>89</v>
      </c>
      <c r="H9" s="32">
        <f>45+18+16+7</f>
        <v>86</v>
      </c>
      <c r="I9" s="32">
        <f>30+17+30+15</f>
        <v>92</v>
      </c>
      <c r="J9" s="32">
        <f>20+18+8+36+8</f>
        <v>90</v>
      </c>
      <c r="K9" s="34">
        <f>10+18+8+7+20+17</f>
        <v>80</v>
      </c>
      <c r="L9" s="7">
        <f t="shared" si="0"/>
        <v>531</v>
      </c>
    </row>
    <row r="10" spans="1:15">
      <c r="A10" s="47">
        <v>5</v>
      </c>
      <c r="B10" s="59" t="s">
        <v>44</v>
      </c>
      <c r="C10" s="32">
        <v>1949</v>
      </c>
      <c r="D10" s="72"/>
      <c r="E10" s="73">
        <v>251</v>
      </c>
      <c r="F10" s="32">
        <f>40+9+45</f>
        <v>94</v>
      </c>
      <c r="G10" s="32">
        <f>24+12+20+27</f>
        <v>83</v>
      </c>
      <c r="H10" s="32">
        <f>45+24+14</f>
        <v>83</v>
      </c>
      <c r="I10" s="32">
        <f>20+18+8+10+18+16</f>
        <v>90</v>
      </c>
      <c r="J10" s="32">
        <f>30+17+20+18+8</f>
        <v>93</v>
      </c>
      <c r="K10" s="34">
        <f>10+24+9+20+18+6</f>
        <v>87</v>
      </c>
      <c r="L10" s="7">
        <f t="shared" si="0"/>
        <v>530</v>
      </c>
    </row>
    <row r="11" spans="1:15">
      <c r="A11" s="47">
        <v>6</v>
      </c>
      <c r="B11" s="30" t="s">
        <v>63</v>
      </c>
      <c r="C11" s="50">
        <v>1966</v>
      </c>
      <c r="D11" s="31" t="s">
        <v>64</v>
      </c>
      <c r="E11" s="31" t="s">
        <v>65</v>
      </c>
      <c r="F11" s="32">
        <f>40+9+45</f>
        <v>94</v>
      </c>
      <c r="G11" s="32">
        <f>18+24+40+9</f>
        <v>91</v>
      </c>
      <c r="H11" s="32">
        <f>45+18+24</f>
        <v>87</v>
      </c>
      <c r="I11" s="32">
        <f>20+9+12+10+9+16+7</f>
        <v>83</v>
      </c>
      <c r="J11" s="32">
        <f>10+9+8+14+20+9+16</f>
        <v>86</v>
      </c>
      <c r="K11" s="34">
        <f>17+10+15+20+17+7</f>
        <v>86</v>
      </c>
      <c r="L11" s="7">
        <f t="shared" si="0"/>
        <v>527</v>
      </c>
    </row>
    <row r="12" spans="1:15">
      <c r="A12" s="47">
        <v>7</v>
      </c>
      <c r="B12" s="30" t="s">
        <v>56</v>
      </c>
      <c r="C12" s="50">
        <v>1967</v>
      </c>
      <c r="D12" s="45" t="s">
        <v>57</v>
      </c>
      <c r="E12" s="46"/>
      <c r="F12" s="32">
        <f>20+27+18+24</f>
        <v>89</v>
      </c>
      <c r="G12" s="32">
        <f>24+7+6+50</f>
        <v>87</v>
      </c>
      <c r="H12" s="32">
        <f>30+18+18+16+7</f>
        <v>89</v>
      </c>
      <c r="I12" s="32">
        <f>10+16+7+18+16+7</f>
        <v>74</v>
      </c>
      <c r="J12" s="32">
        <f>18+16+8+10+9+21</f>
        <v>82</v>
      </c>
      <c r="K12" s="34">
        <f>18+8+14+20+9+8+7</f>
        <v>84</v>
      </c>
      <c r="L12" s="7">
        <f t="shared" si="0"/>
        <v>505</v>
      </c>
      <c r="O12" s="4"/>
    </row>
    <row r="13" spans="1:15">
      <c r="A13" s="71">
        <v>8</v>
      </c>
      <c r="B13" s="55" t="s">
        <v>16</v>
      </c>
      <c r="C13" s="67">
        <v>1958</v>
      </c>
      <c r="D13" s="74" t="s">
        <v>57</v>
      </c>
      <c r="E13" s="1"/>
      <c r="F13" s="32">
        <f>50+45</f>
        <v>95</v>
      </c>
      <c r="G13" s="33">
        <f>32+9+40+9</f>
        <v>90</v>
      </c>
      <c r="H13" s="32">
        <f>45+32+7</f>
        <v>84</v>
      </c>
      <c r="I13" s="32">
        <f>20+16+7+20+9+5</f>
        <v>77</v>
      </c>
      <c r="J13" s="32">
        <f>18+16+7+18+16+8</f>
        <v>83</v>
      </c>
      <c r="K13" s="34">
        <f>9+8+7+6+5+9+8+7+6+6</f>
        <v>71</v>
      </c>
      <c r="L13" s="7">
        <f t="shared" si="0"/>
        <v>500</v>
      </c>
    </row>
    <row r="14" spans="1:15">
      <c r="A14" s="71">
        <v>9</v>
      </c>
      <c r="B14" s="35" t="s">
        <v>66</v>
      </c>
      <c r="C14" s="50">
        <v>1953</v>
      </c>
      <c r="D14" s="31" t="s">
        <v>67</v>
      </c>
      <c r="E14" s="31" t="s">
        <v>45</v>
      </c>
      <c r="F14" s="32">
        <f>10+18+16+8+14+14</f>
        <v>80</v>
      </c>
      <c r="G14" s="33">
        <f>7+6+5+4+3+30+18</f>
        <v>73</v>
      </c>
      <c r="H14" s="32">
        <f>36+8+24+12</f>
        <v>80</v>
      </c>
      <c r="I14" s="32">
        <f>9+8+14+6+10+18+11</f>
        <v>76</v>
      </c>
      <c r="J14" s="32">
        <f>9+14+11+19+16+7</f>
        <v>76</v>
      </c>
      <c r="K14" s="34">
        <f>10+14+6+8+30+14</f>
        <v>82</v>
      </c>
      <c r="L14" s="7">
        <f t="shared" si="0"/>
        <v>467</v>
      </c>
    </row>
    <row r="15" spans="1:15">
      <c r="A15" s="47">
        <v>10</v>
      </c>
      <c r="B15" s="30" t="s">
        <v>48</v>
      </c>
      <c r="C15" s="50">
        <v>1955</v>
      </c>
      <c r="D15" s="31" t="s">
        <v>49</v>
      </c>
      <c r="E15" s="31" t="s">
        <v>50</v>
      </c>
      <c r="F15" s="32">
        <f>10+36+36+8</f>
        <v>90</v>
      </c>
      <c r="G15" s="32">
        <f>16+14+6+10+36</f>
        <v>82</v>
      </c>
      <c r="H15" s="32">
        <f>24+7+6+6+5+4+2+1</f>
        <v>55</v>
      </c>
      <c r="I15" s="32">
        <f>9+16+14+9+8+7+12</f>
        <v>75</v>
      </c>
      <c r="J15" s="32">
        <f>8+14+11+9+14+11</f>
        <v>67</v>
      </c>
      <c r="K15" s="34">
        <f>9+8+14+5+30+9+7</f>
        <v>82</v>
      </c>
      <c r="L15" s="7">
        <f t="shared" si="0"/>
        <v>451</v>
      </c>
    </row>
    <row r="16" spans="1:15" ht="15.75" thickBot="1">
      <c r="A16" s="25">
        <v>11</v>
      </c>
      <c r="B16" s="68" t="s">
        <v>19</v>
      </c>
      <c r="C16" s="69">
        <v>1955</v>
      </c>
      <c r="D16" s="2">
        <v>17071</v>
      </c>
      <c r="E16" s="2">
        <v>657</v>
      </c>
      <c r="F16" s="56">
        <f>30+18+9+32</f>
        <v>89</v>
      </c>
      <c r="G16" s="56">
        <f>21+11+10+36</f>
        <v>78</v>
      </c>
      <c r="H16" s="56">
        <f>45+18+24</f>
        <v>87</v>
      </c>
      <c r="I16" s="56">
        <f>9+7+6+6+10+9+14+5</f>
        <v>66</v>
      </c>
      <c r="J16" s="56">
        <f>8+14+11+20+7</f>
        <v>60</v>
      </c>
      <c r="K16" s="57">
        <f>15+12+5+30+8</f>
        <v>70</v>
      </c>
      <c r="L16" s="6">
        <f t="shared" si="0"/>
        <v>450</v>
      </c>
    </row>
    <row r="17" spans="2:7">
      <c r="F17" s="4"/>
      <c r="G17" s="4"/>
    </row>
    <row r="19" spans="2:7">
      <c r="F19" s="4"/>
      <c r="G19" s="4"/>
    </row>
    <row r="23" spans="2:7">
      <c r="B23" s="4"/>
      <c r="D23" s="4"/>
      <c r="F23" s="4"/>
      <c r="G23" s="4"/>
    </row>
    <row r="24" spans="2:7">
      <c r="D24" s="4"/>
      <c r="F24" s="4"/>
    </row>
  </sheetData>
  <sortState ref="B4:L13">
    <sortCondition descending="1" ref="L13"/>
  </sortState>
  <mergeCells count="8">
    <mergeCell ref="I4:K4"/>
    <mergeCell ref="L4:L5"/>
    <mergeCell ref="A4:A5"/>
    <mergeCell ref="B4:B5"/>
    <mergeCell ref="C4:C5"/>
    <mergeCell ref="D4:D5"/>
    <mergeCell ref="E4:E5"/>
    <mergeCell ref="F4:H4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topLeftCell="A34" workbookViewId="0">
      <selection activeCell="G3" sqref="G3"/>
    </sheetView>
  </sheetViews>
  <sheetFormatPr defaultRowHeight="15"/>
  <cols>
    <col min="1" max="1" width="8" customWidth="1"/>
    <col min="2" max="2" width="20.140625" customWidth="1"/>
    <col min="3" max="3" width="8.42578125" customWidth="1"/>
    <col min="4" max="4" width="8.85546875" customWidth="1"/>
    <col min="5" max="5" width="8.140625" customWidth="1"/>
  </cols>
  <sheetData>
    <row r="1" spans="1:13">
      <c r="B1" t="s">
        <v>97</v>
      </c>
    </row>
    <row r="2" spans="1:13">
      <c r="B2" t="s">
        <v>98</v>
      </c>
      <c r="C2" t="s">
        <v>99</v>
      </c>
    </row>
    <row r="3" spans="1:13" ht="15.75" thickBot="1"/>
    <row r="4" spans="1:13" ht="12" customHeight="1">
      <c r="A4" s="83" t="s">
        <v>0</v>
      </c>
      <c r="B4" s="85" t="s">
        <v>1</v>
      </c>
      <c r="C4" s="85" t="s">
        <v>2</v>
      </c>
      <c r="D4" s="85" t="s">
        <v>3</v>
      </c>
      <c r="E4" s="85" t="s">
        <v>4</v>
      </c>
      <c r="F4" s="91" t="s">
        <v>5</v>
      </c>
      <c r="G4" s="91"/>
      <c r="H4" s="91"/>
      <c r="I4" s="91" t="s">
        <v>6</v>
      </c>
      <c r="J4" s="91"/>
      <c r="K4" s="92"/>
      <c r="L4" s="80" t="s">
        <v>90</v>
      </c>
    </row>
    <row r="5" spans="1:13" ht="12" customHeight="1" thickBot="1">
      <c r="A5" s="84"/>
      <c r="B5" s="86"/>
      <c r="C5" s="86"/>
      <c r="D5" s="86"/>
      <c r="E5" s="86"/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8" t="s">
        <v>12</v>
      </c>
      <c r="L5" s="82"/>
    </row>
    <row r="6" spans="1:13">
      <c r="A6" s="17">
        <v>1</v>
      </c>
      <c r="B6" s="30" t="s">
        <v>37</v>
      </c>
      <c r="C6" s="50">
        <v>1988</v>
      </c>
      <c r="D6" s="42" t="s">
        <v>38</v>
      </c>
      <c r="E6" s="43" t="s">
        <v>32</v>
      </c>
      <c r="F6" s="32">
        <f>50+49</f>
        <v>99</v>
      </c>
      <c r="G6" s="32">
        <f>9+9+9+9+7+48</f>
        <v>91</v>
      </c>
      <c r="H6" s="32">
        <f>48+9+9+9+8+6</f>
        <v>89</v>
      </c>
      <c r="I6" s="32">
        <f>30+18+10+36</f>
        <v>94</v>
      </c>
      <c r="J6" s="32">
        <f>10+27+8+30+18</f>
        <v>93</v>
      </c>
      <c r="K6" s="39">
        <f>50+20+18+8</f>
        <v>96</v>
      </c>
      <c r="L6" s="7">
        <f t="shared" ref="L6:L21" si="0">SUM(F6:K6)</f>
        <v>562</v>
      </c>
    </row>
    <row r="7" spans="1:13">
      <c r="A7" s="17">
        <v>2</v>
      </c>
      <c r="B7" s="35" t="s">
        <v>85</v>
      </c>
      <c r="C7" s="50">
        <v>1965</v>
      </c>
      <c r="D7" s="44" t="s">
        <v>86</v>
      </c>
      <c r="E7" s="44" t="s">
        <v>18</v>
      </c>
      <c r="F7" s="32">
        <f>50+46</f>
        <v>96</v>
      </c>
      <c r="G7" s="32">
        <v>95</v>
      </c>
      <c r="H7" s="32">
        <v>91</v>
      </c>
      <c r="I7" s="32">
        <v>95</v>
      </c>
      <c r="J7" s="32">
        <v>91</v>
      </c>
      <c r="K7" s="34">
        <v>93</v>
      </c>
      <c r="L7" s="7">
        <v>561</v>
      </c>
      <c r="M7" t="s">
        <v>93</v>
      </c>
    </row>
    <row r="8" spans="1:13">
      <c r="A8" s="17">
        <v>3</v>
      </c>
      <c r="B8" s="30" t="s">
        <v>58</v>
      </c>
      <c r="C8" s="50">
        <v>1957</v>
      </c>
      <c r="D8" s="42" t="s">
        <v>92</v>
      </c>
      <c r="E8" s="43" t="s">
        <v>62</v>
      </c>
      <c r="F8" s="32">
        <f>50+10+38</f>
        <v>98</v>
      </c>
      <c r="G8" s="32">
        <v>92</v>
      </c>
      <c r="H8" s="32">
        <v>90</v>
      </c>
      <c r="I8" s="32">
        <v>92</v>
      </c>
      <c r="J8" s="32">
        <v>93</v>
      </c>
      <c r="K8" s="34">
        <v>96</v>
      </c>
      <c r="L8" s="7">
        <f t="shared" si="0"/>
        <v>561</v>
      </c>
      <c r="M8" t="s">
        <v>94</v>
      </c>
    </row>
    <row r="9" spans="1:13">
      <c r="A9" s="17">
        <v>4</v>
      </c>
      <c r="B9" s="30" t="s">
        <v>25</v>
      </c>
      <c r="C9" s="50">
        <v>1962</v>
      </c>
      <c r="D9" s="44" t="s">
        <v>26</v>
      </c>
      <c r="E9" s="44" t="s">
        <v>24</v>
      </c>
      <c r="F9" s="32">
        <f>8+8+8+9+9+9+9+9+9+10</f>
        <v>88</v>
      </c>
      <c r="G9" s="32">
        <f>100</f>
        <v>100</v>
      </c>
      <c r="H9" s="32">
        <f>10+9+9+9+9+9+9+8+8+8</f>
        <v>88</v>
      </c>
      <c r="I9" s="32">
        <f>48+48</f>
        <v>96</v>
      </c>
      <c r="J9" s="32">
        <f>30+16+20+18+8</f>
        <v>92</v>
      </c>
      <c r="K9" s="34">
        <f>30+18+47</f>
        <v>95</v>
      </c>
      <c r="L9" s="7">
        <f t="shared" si="0"/>
        <v>559</v>
      </c>
    </row>
    <row r="10" spans="1:13">
      <c r="A10" s="17">
        <v>5</v>
      </c>
      <c r="B10" s="30" t="s">
        <v>51</v>
      </c>
      <c r="C10" s="50">
        <v>1949</v>
      </c>
      <c r="D10" s="44" t="s">
        <v>52</v>
      </c>
      <c r="E10" s="44" t="s">
        <v>53</v>
      </c>
      <c r="F10" s="32">
        <f>50+44</f>
        <v>94</v>
      </c>
      <c r="G10" s="32">
        <f>8+8+8+7+6+50</f>
        <v>87</v>
      </c>
      <c r="H10" s="32">
        <f>45+9+8+8+8+7</f>
        <v>85</v>
      </c>
      <c r="I10" s="32">
        <f>10+10+10+10+9+10+10+10+10+9</f>
        <v>98</v>
      </c>
      <c r="J10" s="32">
        <v>97</v>
      </c>
      <c r="K10" s="34">
        <v>97</v>
      </c>
      <c r="L10" s="7">
        <f t="shared" si="0"/>
        <v>558</v>
      </c>
    </row>
    <row r="11" spans="1:13">
      <c r="A11" s="17">
        <v>6</v>
      </c>
      <c r="B11" s="30" t="s">
        <v>74</v>
      </c>
      <c r="C11" s="50">
        <v>1969</v>
      </c>
      <c r="D11" s="44" t="s">
        <v>75</v>
      </c>
      <c r="E11" s="44" t="s">
        <v>76</v>
      </c>
      <c r="F11" s="32">
        <f>50+20+27</f>
        <v>97</v>
      </c>
      <c r="G11" s="32">
        <f>41+50</f>
        <v>91</v>
      </c>
      <c r="H11" s="32">
        <f>45+36+8</f>
        <v>89</v>
      </c>
      <c r="I11" s="32">
        <f>60+9+9+9+5</f>
        <v>92</v>
      </c>
      <c r="J11" s="32">
        <f>50+9+9+9+9+8</f>
        <v>94</v>
      </c>
      <c r="K11" s="34">
        <f>10+9+8+6+8+10+10+9+9+7</f>
        <v>86</v>
      </c>
      <c r="L11" s="7">
        <f t="shared" si="0"/>
        <v>549</v>
      </c>
      <c r="M11" t="s">
        <v>95</v>
      </c>
    </row>
    <row r="12" spans="1:13">
      <c r="A12" s="17">
        <v>7</v>
      </c>
      <c r="B12" s="35" t="s">
        <v>68</v>
      </c>
      <c r="C12" s="50">
        <v>1979</v>
      </c>
      <c r="D12" s="44" t="s">
        <v>69</v>
      </c>
      <c r="E12" s="44" t="s">
        <v>62</v>
      </c>
      <c r="F12" s="32">
        <f>48+45</f>
        <v>93</v>
      </c>
      <c r="G12" s="32">
        <f>9+9+9+8+8+49</f>
        <v>92</v>
      </c>
      <c r="H12" s="32">
        <f>45+9+9+9+8+8</f>
        <v>88</v>
      </c>
      <c r="I12" s="32">
        <f>10+9+9+8+8+10+10+10+10+9</f>
        <v>93</v>
      </c>
      <c r="J12" s="32">
        <f>50+9+9+8+8+8</f>
        <v>92</v>
      </c>
      <c r="K12" s="39">
        <f>50+9+9+9+7+7</f>
        <v>91</v>
      </c>
      <c r="L12" s="7">
        <f t="shared" si="0"/>
        <v>549</v>
      </c>
      <c r="M12" t="s">
        <v>96</v>
      </c>
    </row>
    <row r="13" spans="1:13">
      <c r="A13" s="17">
        <v>8</v>
      </c>
      <c r="B13" s="35" t="s">
        <v>30</v>
      </c>
      <c r="C13" s="50">
        <v>1974</v>
      </c>
      <c r="D13" s="44" t="s">
        <v>31</v>
      </c>
      <c r="E13" s="44" t="s">
        <v>32</v>
      </c>
      <c r="F13" s="32">
        <f>99</f>
        <v>99</v>
      </c>
      <c r="G13" s="32">
        <f>50+9+9+9+9+8</f>
        <v>94</v>
      </c>
      <c r="H13" s="32">
        <f>50+9+9+9+9+9</f>
        <v>95</v>
      </c>
      <c r="I13" s="32">
        <f>48+18+16+6</f>
        <v>88</v>
      </c>
      <c r="J13" s="32">
        <f>20+18+8+10+18+8+7</f>
        <v>89</v>
      </c>
      <c r="K13" s="34">
        <f>18+8+7+6+10+18+14</f>
        <v>81</v>
      </c>
      <c r="L13" s="7">
        <f t="shared" si="0"/>
        <v>546</v>
      </c>
    </row>
    <row r="14" spans="1:13">
      <c r="A14" s="17">
        <v>9</v>
      </c>
      <c r="B14" s="30" t="s">
        <v>77</v>
      </c>
      <c r="C14" s="50">
        <v>1964</v>
      </c>
      <c r="D14" s="44" t="s">
        <v>91</v>
      </c>
      <c r="E14" s="44" t="s">
        <v>18</v>
      </c>
      <c r="F14" s="32">
        <f>50+10+36</f>
        <v>96</v>
      </c>
      <c r="G14" s="32">
        <f>9+8+30+40+9</f>
        <v>96</v>
      </c>
      <c r="H14" s="32">
        <f>45+32+7</f>
        <v>84</v>
      </c>
      <c r="I14" s="32">
        <f>30+18+10+27+8</f>
        <v>93</v>
      </c>
      <c r="J14" s="32">
        <f>27+14+10+18+8+7</f>
        <v>84</v>
      </c>
      <c r="K14" s="34">
        <f>10+36+10+27+8</f>
        <v>91</v>
      </c>
      <c r="L14" s="7">
        <f t="shared" si="0"/>
        <v>544</v>
      </c>
    </row>
    <row r="15" spans="1:13">
      <c r="A15" s="17">
        <v>10</v>
      </c>
      <c r="B15" s="30" t="s">
        <v>17</v>
      </c>
      <c r="C15" s="50">
        <v>1991</v>
      </c>
      <c r="D15" s="44">
        <v>33558</v>
      </c>
      <c r="E15" s="44" t="s">
        <v>18</v>
      </c>
      <c r="F15" s="32">
        <f>30+18+9+9+9+9+8</f>
        <v>92</v>
      </c>
      <c r="G15" s="32">
        <f>8+8+8+8+8+40+9</f>
        <v>89</v>
      </c>
      <c r="H15" s="32">
        <f>9+9+9+9+9+8+8+7+7+7</f>
        <v>82</v>
      </c>
      <c r="I15" s="32">
        <f>20+27+20+9+16</f>
        <v>92</v>
      </c>
      <c r="J15" s="32">
        <f>30+9+8+30+18</f>
        <v>95</v>
      </c>
      <c r="K15" s="34">
        <f>36+8+30+9+8</f>
        <v>91</v>
      </c>
      <c r="L15" s="7">
        <f t="shared" si="0"/>
        <v>541</v>
      </c>
    </row>
    <row r="16" spans="1:13">
      <c r="A16" s="17">
        <v>11</v>
      </c>
      <c r="B16" s="35" t="s">
        <v>83</v>
      </c>
      <c r="C16" s="50">
        <v>1988</v>
      </c>
      <c r="D16" s="44" t="s">
        <v>84</v>
      </c>
      <c r="E16" s="44" t="s">
        <v>18</v>
      </c>
      <c r="F16" s="32">
        <f>30+18+45</f>
        <v>93</v>
      </c>
      <c r="G16" s="32">
        <f>27+16+50</f>
        <v>93</v>
      </c>
      <c r="H16" s="32">
        <f>20+18+8+27+16</f>
        <v>89</v>
      </c>
      <c r="I16" s="32">
        <f>20+9+8+8+40+8</f>
        <v>93</v>
      </c>
      <c r="J16" s="32">
        <f>10+9+9+8+8+10+10+9+8+6</f>
        <v>87</v>
      </c>
      <c r="K16" s="34">
        <f>10+8+8+7+6+10+9+8+8+6</f>
        <v>80</v>
      </c>
      <c r="L16" s="7">
        <f t="shared" si="0"/>
        <v>535</v>
      </c>
    </row>
    <row r="17" spans="1:12">
      <c r="A17" s="17">
        <v>12</v>
      </c>
      <c r="B17" s="30" t="s">
        <v>87</v>
      </c>
      <c r="C17" s="50">
        <v>1970</v>
      </c>
      <c r="D17" s="44" t="s">
        <v>105</v>
      </c>
      <c r="E17" s="44" t="s">
        <v>21</v>
      </c>
      <c r="F17" s="32">
        <f>50+36+8</f>
        <v>94</v>
      </c>
      <c r="G17" s="32">
        <f>24+14+50</f>
        <v>88</v>
      </c>
      <c r="H17" s="32">
        <f>20+27+9+16+14</f>
        <v>86</v>
      </c>
      <c r="I17" s="32">
        <f>20+18+8+10+36</f>
        <v>92</v>
      </c>
      <c r="J17" s="32">
        <f>10+17+13+20+18+8</f>
        <v>86</v>
      </c>
      <c r="K17" s="34">
        <f>10+36+10+9+8+14</f>
        <v>87</v>
      </c>
      <c r="L17" s="7">
        <f t="shared" si="0"/>
        <v>533</v>
      </c>
    </row>
    <row r="18" spans="1:12">
      <c r="A18" s="17">
        <v>13</v>
      </c>
      <c r="B18" s="30" t="s">
        <v>42</v>
      </c>
      <c r="C18" s="50">
        <v>1952</v>
      </c>
      <c r="D18" s="44" t="s">
        <v>43</v>
      </c>
      <c r="E18" s="44" t="s">
        <v>15</v>
      </c>
      <c r="F18" s="32">
        <f>10+10+10+10+10+9+9+9+9+9</f>
        <v>95</v>
      </c>
      <c r="G18" s="32">
        <f>9+8+7+7+6+10+10+10+9+9</f>
        <v>85</v>
      </c>
      <c r="H18" s="32">
        <f>44+8+8+8+8+8</f>
        <v>84</v>
      </c>
      <c r="I18" s="32">
        <f>20+9+8+7+30+9+8</f>
        <v>91</v>
      </c>
      <c r="J18" s="32">
        <f>20+9+16+20+18+8</f>
        <v>91</v>
      </c>
      <c r="K18" s="39">
        <f>20+8+7+6+27+8+6</f>
        <v>82</v>
      </c>
      <c r="L18" s="7">
        <f t="shared" si="0"/>
        <v>528</v>
      </c>
    </row>
    <row r="19" spans="1:12">
      <c r="A19" s="17">
        <v>14</v>
      </c>
      <c r="B19" s="30" t="s">
        <v>78</v>
      </c>
      <c r="C19" s="50">
        <v>1989</v>
      </c>
      <c r="D19" s="44" t="s">
        <v>79</v>
      </c>
      <c r="E19" s="44" t="s">
        <v>18</v>
      </c>
      <c r="F19" s="32">
        <f>10+36+45</f>
        <v>91</v>
      </c>
      <c r="G19" s="32">
        <f>18+8+14+40+9</f>
        <v>89</v>
      </c>
      <c r="H19" s="32">
        <f>18+24+16+14+8</f>
        <v>80</v>
      </c>
      <c r="I19" s="32">
        <f>20+9+8+8+10+9+9+9+7</f>
        <v>89</v>
      </c>
      <c r="J19" s="32">
        <f>9+9+8+8+8+30+9+5</f>
        <v>86</v>
      </c>
      <c r="K19" s="34">
        <f>9+9+9+5+9+9+9+9+7</f>
        <v>75</v>
      </c>
      <c r="L19" s="7">
        <f t="shared" si="0"/>
        <v>510</v>
      </c>
    </row>
    <row r="20" spans="1:12">
      <c r="A20" s="17">
        <v>15</v>
      </c>
      <c r="B20" s="30" t="s">
        <v>71</v>
      </c>
      <c r="C20" s="50">
        <v>1966</v>
      </c>
      <c r="D20" s="44" t="s">
        <v>72</v>
      </c>
      <c r="E20" s="44" t="s">
        <v>18</v>
      </c>
      <c r="F20" s="32">
        <f>50+48</f>
        <v>98</v>
      </c>
      <c r="G20" s="32">
        <f>9+7+6+6+3+50</f>
        <v>81</v>
      </c>
      <c r="H20" s="32">
        <f>9+9+9+9+8+8+8+7+7+7</f>
        <v>81</v>
      </c>
      <c r="I20" s="32">
        <f>9+8+8+8+7+9+8+8+8+7</f>
        <v>80</v>
      </c>
      <c r="J20" s="32">
        <f>9+9+7+7+6+10+9+8+8+0</f>
        <v>73</v>
      </c>
      <c r="K20" s="34">
        <f>10+9+9+8+7+10+9+9+8+7</f>
        <v>86</v>
      </c>
      <c r="L20" s="7">
        <f t="shared" si="0"/>
        <v>499</v>
      </c>
    </row>
    <row r="21" spans="1:12" ht="15.75" thickBot="1">
      <c r="A21" s="22">
        <v>16</v>
      </c>
      <c r="B21" s="76" t="s">
        <v>19</v>
      </c>
      <c r="C21" s="60">
        <v>1955</v>
      </c>
      <c r="D21" s="61" t="s">
        <v>20</v>
      </c>
      <c r="E21" s="61" t="s">
        <v>21</v>
      </c>
      <c r="F21" s="56">
        <f>49+9+9+9+9+9</f>
        <v>94</v>
      </c>
      <c r="G21" s="56">
        <f>9+9+8+8+7+50</f>
        <v>91</v>
      </c>
      <c r="H21" s="56">
        <f>9+10+9+9+9+9+9+9+8+8</f>
        <v>89</v>
      </c>
      <c r="I21" s="56">
        <f>44+16+12+5</f>
        <v>77</v>
      </c>
      <c r="J21" s="56">
        <f>9+8+12+6+16+7+5+0</f>
        <v>63</v>
      </c>
      <c r="K21" s="57">
        <f>10+18+7+0+9+8+12+6</f>
        <v>70</v>
      </c>
      <c r="L21" s="6">
        <f t="shared" si="0"/>
        <v>484</v>
      </c>
    </row>
    <row r="22" spans="1:12">
      <c r="A22" s="5"/>
      <c r="B22" s="9"/>
      <c r="C22" s="65"/>
      <c r="D22" s="66"/>
      <c r="E22" s="66"/>
      <c r="F22" s="4"/>
      <c r="G22" s="4"/>
      <c r="H22" s="4"/>
      <c r="I22" s="4"/>
      <c r="J22" s="4"/>
      <c r="K22" s="4"/>
      <c r="L22" s="4"/>
    </row>
    <row r="23" spans="1:12">
      <c r="A23" s="5"/>
      <c r="B23" s="9" t="s">
        <v>100</v>
      </c>
      <c r="C23" s="65"/>
      <c r="D23" s="66" t="s">
        <v>101</v>
      </c>
      <c r="E23" s="66"/>
      <c r="F23" s="4"/>
      <c r="G23" s="4"/>
      <c r="H23" s="4"/>
      <c r="I23" s="4"/>
      <c r="J23" s="4"/>
      <c r="K23" s="4"/>
      <c r="L23" s="4"/>
    </row>
    <row r="24" spans="1:12" ht="15.75" thickBot="1"/>
    <row r="25" spans="1:12" ht="12" customHeight="1">
      <c r="A25" s="87" t="s">
        <v>0</v>
      </c>
      <c r="B25" s="89" t="s">
        <v>1</v>
      </c>
      <c r="C25" s="89" t="s">
        <v>2</v>
      </c>
      <c r="D25" s="89" t="s">
        <v>3</v>
      </c>
      <c r="E25" s="89" t="s">
        <v>4</v>
      </c>
      <c r="F25" s="93" t="s">
        <v>5</v>
      </c>
      <c r="G25" s="94"/>
      <c r="H25" s="95"/>
      <c r="I25" s="94" t="s">
        <v>6</v>
      </c>
      <c r="J25" s="94"/>
      <c r="K25" s="96"/>
      <c r="L25" s="80" t="s">
        <v>90</v>
      </c>
    </row>
    <row r="26" spans="1:12" ht="12" customHeight="1" thickBot="1">
      <c r="A26" s="88"/>
      <c r="B26" s="90"/>
      <c r="C26" s="90"/>
      <c r="D26" s="90"/>
      <c r="E26" s="90"/>
      <c r="F26" s="22" t="s">
        <v>7</v>
      </c>
      <c r="G26" s="22" t="s">
        <v>8</v>
      </c>
      <c r="H26" s="22" t="s">
        <v>9</v>
      </c>
      <c r="I26" s="22" t="s">
        <v>10</v>
      </c>
      <c r="J26" s="22" t="s">
        <v>11</v>
      </c>
      <c r="K26" s="23" t="s">
        <v>12</v>
      </c>
      <c r="L26" s="81"/>
    </row>
    <row r="27" spans="1:12">
      <c r="A27" s="17">
        <v>1</v>
      </c>
      <c r="B27" s="28" t="s">
        <v>27</v>
      </c>
      <c r="C27" s="29">
        <v>1994</v>
      </c>
      <c r="D27" s="38" t="s">
        <v>28</v>
      </c>
      <c r="E27" s="38" t="s">
        <v>24</v>
      </c>
      <c r="F27" s="26">
        <f>20+9+9+9+9+9+9+9+9</f>
        <v>92</v>
      </c>
      <c r="G27" s="26">
        <f>8+8+7+7+7+50</f>
        <v>87</v>
      </c>
      <c r="H27" s="26">
        <f>10+9+9+9+9+8+8+8+8+8</f>
        <v>86</v>
      </c>
      <c r="I27" s="26">
        <f>20+9+16+10+27+8</f>
        <v>90</v>
      </c>
      <c r="J27" s="26">
        <f>30+9+8+27+8+7</f>
        <v>89</v>
      </c>
      <c r="K27" s="27">
        <f>49+20+18+8</f>
        <v>95</v>
      </c>
      <c r="L27" s="7">
        <f t="shared" ref="L27:L33" si="1">SUM(F27:K27)</f>
        <v>539</v>
      </c>
    </row>
    <row r="28" spans="1:12">
      <c r="A28" s="17">
        <v>2</v>
      </c>
      <c r="B28" s="30" t="s">
        <v>46</v>
      </c>
      <c r="C28" s="1">
        <v>1998</v>
      </c>
      <c r="D28" s="31" t="s">
        <v>47</v>
      </c>
      <c r="E28" s="31" t="s">
        <v>18</v>
      </c>
      <c r="F28" s="32">
        <f>10+9+9+9+9+9+9+8+8+8</f>
        <v>88</v>
      </c>
      <c r="G28" s="32">
        <f>8+8+8+7+7+30+9+9</f>
        <v>86</v>
      </c>
      <c r="H28" s="32">
        <f>45+8+8+8+7+7</f>
        <v>83</v>
      </c>
      <c r="I28" s="32">
        <f>10+18+8+7+10+27+8</f>
        <v>88</v>
      </c>
      <c r="J28" s="32">
        <f>20+27+30+9+8</f>
        <v>94</v>
      </c>
      <c r="K28" s="34">
        <f>10+18+6+5+9+16+7+6</f>
        <v>77</v>
      </c>
      <c r="L28" s="7">
        <f t="shared" si="1"/>
        <v>516</v>
      </c>
    </row>
    <row r="29" spans="1:12">
      <c r="A29" s="17">
        <v>3</v>
      </c>
      <c r="B29" s="30" t="s">
        <v>73</v>
      </c>
      <c r="C29" s="1">
        <v>1994</v>
      </c>
      <c r="D29" s="31">
        <v>36959</v>
      </c>
      <c r="E29" s="31" t="s">
        <v>18</v>
      </c>
      <c r="F29" s="32">
        <f>50+36+8</f>
        <v>94</v>
      </c>
      <c r="G29" s="32">
        <f>8+12+14+40+9</f>
        <v>83</v>
      </c>
      <c r="H29" s="32">
        <f>27+16+24+14</f>
        <v>81</v>
      </c>
      <c r="I29" s="32">
        <f>9+24+7+20+16+6</f>
        <v>82</v>
      </c>
      <c r="J29" s="32">
        <f>10+18+8+6+40+6</f>
        <v>88</v>
      </c>
      <c r="K29" s="34">
        <f>10+9+16+5+27+7+6</f>
        <v>80</v>
      </c>
      <c r="L29" s="7">
        <f t="shared" si="1"/>
        <v>508</v>
      </c>
    </row>
    <row r="30" spans="1:12">
      <c r="A30" s="17">
        <v>4</v>
      </c>
      <c r="B30" s="16" t="s">
        <v>54</v>
      </c>
      <c r="C30" s="17">
        <v>1995</v>
      </c>
      <c r="D30" s="19" t="s">
        <v>55</v>
      </c>
      <c r="E30" s="19" t="s">
        <v>15</v>
      </c>
      <c r="F30" s="14">
        <f>49+43</f>
        <v>92</v>
      </c>
      <c r="G30" s="14">
        <f>8+8+8+8+7+30+9+9</f>
        <v>87</v>
      </c>
      <c r="H30" s="14">
        <f>44+8+8+8+8+7</f>
        <v>83</v>
      </c>
      <c r="I30" s="14">
        <f>10+8+8+7+6+10+8+8+7+5</f>
        <v>77</v>
      </c>
      <c r="J30" s="14">
        <f>10+9+9+8+0+10+9+9+7+7</f>
        <v>78</v>
      </c>
      <c r="K30" s="3">
        <f>8+8+7+6+5+10+10+9+8+8</f>
        <v>79</v>
      </c>
      <c r="L30" s="7">
        <f t="shared" si="1"/>
        <v>496</v>
      </c>
    </row>
    <row r="31" spans="1:12">
      <c r="A31" s="17">
        <v>5</v>
      </c>
      <c r="B31" s="30" t="s">
        <v>33</v>
      </c>
      <c r="C31" s="1">
        <v>1998</v>
      </c>
      <c r="D31" s="31" t="s">
        <v>108</v>
      </c>
      <c r="E31" s="31" t="s">
        <v>32</v>
      </c>
      <c r="F31" s="32">
        <f>9+9+9+9+9+9+8+8+8+8</f>
        <v>86</v>
      </c>
      <c r="G31" s="32">
        <f>7+7+7+5+5+50</f>
        <v>81</v>
      </c>
      <c r="H31" s="32">
        <f>9+9+8+8+7+6+6+5+4+1</f>
        <v>63</v>
      </c>
      <c r="I31" s="32">
        <f>20+18+7+20+9+6+5</f>
        <v>85</v>
      </c>
      <c r="J31" s="32">
        <f>9+14+6+10+9+6</f>
        <v>54</v>
      </c>
      <c r="K31" s="39">
        <f>9+16+8+6+20+9+16</f>
        <v>84</v>
      </c>
      <c r="L31" s="7">
        <f t="shared" si="1"/>
        <v>453</v>
      </c>
    </row>
    <row r="32" spans="1:12">
      <c r="A32" s="17">
        <v>6</v>
      </c>
      <c r="B32" s="30" t="s">
        <v>35</v>
      </c>
      <c r="C32" s="1">
        <v>1996</v>
      </c>
      <c r="D32" s="31" t="s">
        <v>36</v>
      </c>
      <c r="E32" s="31" t="s">
        <v>32</v>
      </c>
      <c r="F32" s="32">
        <f>10+9+9+9+8+7+7+7+7+6</f>
        <v>79</v>
      </c>
      <c r="G32" s="32">
        <f>6+6+5+5+3+10+9+9+9+9</f>
        <v>71</v>
      </c>
      <c r="H32" s="32">
        <f>9+8+8+7+5+5+5+5+4+2</f>
        <v>58</v>
      </c>
      <c r="I32" s="32">
        <f>20+8+12+7+6+5</f>
        <v>58</v>
      </c>
      <c r="J32" s="32">
        <f>9+8+7+5+16+14+5</f>
        <v>64</v>
      </c>
      <c r="K32" s="34">
        <f>8+12+8+7+6</f>
        <v>41</v>
      </c>
      <c r="L32" s="7">
        <f t="shared" si="1"/>
        <v>371</v>
      </c>
    </row>
    <row r="33" spans="1:13" ht="15.75" thickBot="1">
      <c r="A33" s="22">
        <v>7</v>
      </c>
      <c r="B33" s="76" t="s">
        <v>22</v>
      </c>
      <c r="C33" s="2">
        <v>1999</v>
      </c>
      <c r="D33" s="77" t="s">
        <v>23</v>
      </c>
      <c r="E33" s="77" t="s">
        <v>24</v>
      </c>
      <c r="F33" s="56">
        <f>10+9+7+7+7+7+6+6+6+4</f>
        <v>69</v>
      </c>
      <c r="G33" s="56">
        <f>4+4+4+2+2+10+8+7+7+7</f>
        <v>55</v>
      </c>
      <c r="H33" s="56">
        <f>6+6+6+5+2+2+1+7+0+0</f>
        <v>35</v>
      </c>
      <c r="I33" s="56">
        <f>11+8+10</f>
        <v>29</v>
      </c>
      <c r="J33" s="56">
        <f>11+8+6</f>
        <v>25</v>
      </c>
      <c r="K33" s="57">
        <f>7+12+10+9+6</f>
        <v>44</v>
      </c>
      <c r="L33" s="6">
        <f t="shared" si="1"/>
        <v>257</v>
      </c>
    </row>
    <row r="34" spans="1:13" ht="15.75" thickBot="1">
      <c r="A34" s="75"/>
      <c r="B34" s="9"/>
      <c r="C34" s="5"/>
      <c r="D34" s="10"/>
      <c r="E34" s="10"/>
      <c r="F34" s="4"/>
      <c r="G34" s="4"/>
      <c r="H34" s="4"/>
      <c r="I34" s="4"/>
      <c r="J34" s="4"/>
      <c r="K34" s="4"/>
      <c r="L34" s="4"/>
    </row>
    <row r="35" spans="1:13" ht="15.75" thickBot="1">
      <c r="A35" s="75"/>
      <c r="B35" s="9" t="s">
        <v>98</v>
      </c>
      <c r="C35" s="5"/>
      <c r="D35" s="10" t="s">
        <v>102</v>
      </c>
      <c r="E35" s="10"/>
      <c r="F35" s="4"/>
      <c r="G35" s="4"/>
      <c r="H35" s="4"/>
      <c r="I35" s="4"/>
      <c r="J35" s="4"/>
      <c r="K35" s="4"/>
      <c r="L35" s="4"/>
    </row>
    <row r="36" spans="1:13" ht="15.75" thickBot="1">
      <c r="A36" s="75"/>
      <c r="B36" s="9"/>
      <c r="C36" s="5"/>
      <c r="D36" s="10"/>
      <c r="E36" s="10"/>
      <c r="F36" s="4"/>
      <c r="G36" s="4"/>
      <c r="H36" s="4"/>
      <c r="I36" s="4"/>
      <c r="J36" s="4"/>
      <c r="K36" s="4"/>
      <c r="L36" s="4"/>
      <c r="M36" s="4"/>
    </row>
    <row r="37" spans="1:13" ht="12.75" customHeight="1">
      <c r="A37" s="97" t="s">
        <v>0</v>
      </c>
      <c r="B37" s="89" t="s">
        <v>1</v>
      </c>
      <c r="C37" s="89" t="s">
        <v>2</v>
      </c>
      <c r="D37" s="89" t="s">
        <v>3</v>
      </c>
      <c r="E37" s="89" t="s">
        <v>4</v>
      </c>
      <c r="F37" s="93" t="s">
        <v>5</v>
      </c>
      <c r="G37" s="94"/>
      <c r="H37" s="95"/>
      <c r="I37" s="94" t="s">
        <v>6</v>
      </c>
      <c r="J37" s="94"/>
      <c r="K37" s="96"/>
      <c r="L37" s="80" t="s">
        <v>90</v>
      </c>
    </row>
    <row r="38" spans="1:13" ht="12.75" customHeight="1" thickBot="1">
      <c r="A38" s="88"/>
      <c r="B38" s="90"/>
      <c r="C38" s="90"/>
      <c r="D38" s="90"/>
      <c r="E38" s="90"/>
      <c r="F38" s="22" t="s">
        <v>7</v>
      </c>
      <c r="G38" s="22" t="s">
        <v>8</v>
      </c>
      <c r="H38" s="22" t="s">
        <v>9</v>
      </c>
      <c r="I38" s="22" t="s">
        <v>10</v>
      </c>
      <c r="J38" s="22" t="s">
        <v>11</v>
      </c>
      <c r="K38" s="23" t="s">
        <v>12</v>
      </c>
      <c r="L38" s="81"/>
    </row>
    <row r="39" spans="1:13">
      <c r="A39" s="24">
        <v>1</v>
      </c>
      <c r="B39" s="28" t="s">
        <v>13</v>
      </c>
      <c r="C39" s="29">
        <v>1958</v>
      </c>
      <c r="D39" s="38" t="s">
        <v>14</v>
      </c>
      <c r="E39" s="38" t="s">
        <v>15</v>
      </c>
      <c r="F39" s="26">
        <f>8+9+9+9+9+9+40</f>
        <v>93</v>
      </c>
      <c r="G39" s="26">
        <f>100</f>
        <v>100</v>
      </c>
      <c r="H39" s="26">
        <f>49+9+9+9+9+8</f>
        <v>93</v>
      </c>
      <c r="I39" s="26">
        <f>20+18+8+20+16+9</f>
        <v>91</v>
      </c>
      <c r="J39" s="26">
        <f>40+8+40+8</f>
        <v>96</v>
      </c>
      <c r="K39" s="27">
        <f>20+9+7+5+30+18</f>
        <v>89</v>
      </c>
      <c r="L39" s="7">
        <f>SUM(F39:K39)</f>
        <v>562</v>
      </c>
    </row>
    <row r="40" spans="1:13" ht="15.75" thickBot="1">
      <c r="A40" s="20">
        <v>2</v>
      </c>
      <c r="B40" s="76" t="s">
        <v>70</v>
      </c>
      <c r="C40" s="2">
        <v>1957</v>
      </c>
      <c r="D40" s="77"/>
      <c r="E40" s="77" t="s">
        <v>18</v>
      </c>
      <c r="F40" s="56">
        <f>20+9+9+9+9+8+8+8+8</f>
        <v>88</v>
      </c>
      <c r="G40" s="56">
        <f>7+7+7+7+5+50</f>
        <v>83</v>
      </c>
      <c r="H40" s="56">
        <f>10+9+9+8+8+8+8+8+8+6</f>
        <v>82</v>
      </c>
      <c r="I40" s="56">
        <f>9+9+7+7+6+30+8+6</f>
        <v>82</v>
      </c>
      <c r="J40" s="56">
        <f>20+9+9+8+20+9+9+8</f>
        <v>92</v>
      </c>
      <c r="K40" s="57">
        <f>50+9+8+8+8+7</f>
        <v>90</v>
      </c>
      <c r="L40" s="6">
        <f>SUM(F40:K40)</f>
        <v>517</v>
      </c>
    </row>
    <row r="41" spans="1:13">
      <c r="A41" s="4"/>
      <c r="B41" s="9"/>
      <c r="C41" s="5"/>
      <c r="D41" s="10"/>
      <c r="E41" s="10"/>
      <c r="F41" s="4"/>
      <c r="G41" s="4"/>
      <c r="H41" s="4"/>
      <c r="I41" s="4"/>
      <c r="J41" s="4"/>
      <c r="K41" s="4"/>
      <c r="L41" s="4"/>
    </row>
    <row r="42" spans="1:13">
      <c r="A42" s="4"/>
      <c r="B42" s="9" t="s">
        <v>98</v>
      </c>
      <c r="C42" s="5" t="s">
        <v>103</v>
      </c>
      <c r="D42" s="10"/>
      <c r="E42" s="10" t="s">
        <v>104</v>
      </c>
      <c r="F42" s="4"/>
      <c r="G42" s="4"/>
      <c r="H42" s="4"/>
      <c r="I42" s="4"/>
      <c r="J42" s="4"/>
      <c r="K42" s="4"/>
      <c r="L42" s="4"/>
    </row>
    <row r="43" spans="1:13" ht="15.75" thickBot="1"/>
    <row r="44" spans="1:13">
      <c r="A44" s="83" t="s">
        <v>0</v>
      </c>
      <c r="B44" s="85" t="s">
        <v>1</v>
      </c>
      <c r="C44" s="85" t="s">
        <v>2</v>
      </c>
      <c r="D44" s="85" t="s">
        <v>3</v>
      </c>
      <c r="E44" s="85" t="s">
        <v>4</v>
      </c>
      <c r="F44" s="91" t="s">
        <v>5</v>
      </c>
      <c r="G44" s="91"/>
      <c r="H44" s="91"/>
      <c r="I44" s="91" t="s">
        <v>6</v>
      </c>
      <c r="J44" s="91"/>
      <c r="K44" s="92"/>
      <c r="L44" s="80" t="s">
        <v>90</v>
      </c>
    </row>
    <row r="45" spans="1:13" ht="15.75" thickBot="1">
      <c r="A45" s="84"/>
      <c r="B45" s="86"/>
      <c r="C45" s="86"/>
      <c r="D45" s="86"/>
      <c r="E45" s="86"/>
      <c r="F45" s="2" t="s">
        <v>7</v>
      </c>
      <c r="G45" s="2" t="s">
        <v>8</v>
      </c>
      <c r="H45" s="2" t="s">
        <v>9</v>
      </c>
      <c r="I45" s="2" t="s">
        <v>10</v>
      </c>
      <c r="J45" s="2" t="s">
        <v>11</v>
      </c>
      <c r="K45" s="8" t="s">
        <v>12</v>
      </c>
      <c r="L45" s="82"/>
    </row>
    <row r="46" spans="1:13">
      <c r="A46" s="70">
        <v>1</v>
      </c>
      <c r="B46" s="30" t="s">
        <v>51</v>
      </c>
      <c r="C46" s="50">
        <v>1949</v>
      </c>
      <c r="D46" s="45" t="s">
        <v>52</v>
      </c>
      <c r="E46" s="46" t="s">
        <v>53</v>
      </c>
      <c r="F46" s="32">
        <f>30+9+7+20+27</f>
        <v>93</v>
      </c>
      <c r="G46" s="32">
        <f>32+7+40+9</f>
        <v>88</v>
      </c>
      <c r="H46" s="32">
        <f>36+8+24+14</f>
        <v>82</v>
      </c>
      <c r="I46" s="32">
        <f>30+16+49</f>
        <v>95</v>
      </c>
      <c r="J46" s="32">
        <f>10+18+16+20+18+8</f>
        <v>90</v>
      </c>
      <c r="K46" s="39">
        <f>30+8+6+47</f>
        <v>91</v>
      </c>
      <c r="L46" s="7">
        <f>SUM(F46:K46)</f>
        <v>539</v>
      </c>
    </row>
    <row r="47" spans="1:13">
      <c r="A47" s="47">
        <v>2</v>
      </c>
      <c r="B47" s="35" t="s">
        <v>58</v>
      </c>
      <c r="C47" s="50">
        <v>1957</v>
      </c>
      <c r="D47" s="31" t="s">
        <v>92</v>
      </c>
      <c r="E47" s="31" t="s">
        <v>62</v>
      </c>
      <c r="F47" s="32">
        <f>50+10+36</f>
        <v>96</v>
      </c>
      <c r="G47" s="32">
        <f>27+16+50</f>
        <v>93</v>
      </c>
      <c r="H47" s="32">
        <f>20+27+27+7+8</f>
        <v>89</v>
      </c>
      <c r="I47" s="32">
        <f>30+17+10+24+6</f>
        <v>87</v>
      </c>
      <c r="J47" s="32">
        <f>10+18+16+27+16</f>
        <v>87</v>
      </c>
      <c r="K47" s="34">
        <f>49+20+17</f>
        <v>86</v>
      </c>
      <c r="L47" s="7">
        <f>SUM(F47:K47)</f>
        <v>538</v>
      </c>
    </row>
    <row r="48" spans="1:13">
      <c r="A48" s="47">
        <v>3</v>
      </c>
      <c r="B48" s="30" t="s">
        <v>68</v>
      </c>
      <c r="C48" s="50">
        <v>1979</v>
      </c>
      <c r="D48" s="45" t="s">
        <v>69</v>
      </c>
      <c r="E48" s="46" t="s">
        <v>62</v>
      </c>
      <c r="F48" s="32">
        <f>40+9+45</f>
        <v>94</v>
      </c>
      <c r="G48" s="32">
        <f>9+32+30+18</f>
        <v>89</v>
      </c>
      <c r="H48" s="32">
        <f>45+18+16+7</f>
        <v>86</v>
      </c>
      <c r="I48" s="32">
        <f>30+17+30+15</f>
        <v>92</v>
      </c>
      <c r="J48" s="32">
        <f>20+18+8+36+8</f>
        <v>90</v>
      </c>
      <c r="K48" s="34">
        <f>10+18+8+7+20+17</f>
        <v>80</v>
      </c>
      <c r="L48" s="7">
        <f>SUM(F48:K48)</f>
        <v>531</v>
      </c>
    </row>
    <row r="49" spans="1:13" ht="15.75" thickBot="1">
      <c r="A49" s="25">
        <v>4</v>
      </c>
      <c r="B49" s="68" t="s">
        <v>19</v>
      </c>
      <c r="C49" s="69">
        <v>1955</v>
      </c>
      <c r="D49" s="2">
        <v>17071</v>
      </c>
      <c r="E49" s="2">
        <v>657</v>
      </c>
      <c r="F49" s="56">
        <f>30+18+9+32</f>
        <v>89</v>
      </c>
      <c r="G49" s="56">
        <f>21+11+10+36</f>
        <v>78</v>
      </c>
      <c r="H49" s="56">
        <f>45+18+24</f>
        <v>87</v>
      </c>
      <c r="I49" s="56">
        <f>9+7+6+6+10+9+14+5</f>
        <v>66</v>
      </c>
      <c r="J49" s="56">
        <f>8+14+11+20+7</f>
        <v>60</v>
      </c>
      <c r="K49" s="57">
        <f>15+12+5+30+8</f>
        <v>70</v>
      </c>
      <c r="L49" s="6">
        <f>SUM(F49:K49)</f>
        <v>450</v>
      </c>
    </row>
    <row r="50" spans="1:13">
      <c r="A50" s="1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3">
      <c r="A51" s="11"/>
      <c r="B51" s="9"/>
      <c r="C51" s="65"/>
      <c r="D51" s="10"/>
      <c r="E51" s="10"/>
      <c r="F51" s="4"/>
      <c r="G51" s="4"/>
      <c r="H51" s="4"/>
      <c r="I51" s="4"/>
      <c r="J51" s="4"/>
      <c r="K51" s="4"/>
      <c r="L51" s="4"/>
      <c r="M51" s="4"/>
    </row>
    <row r="53" spans="1:13">
      <c r="B53" s="4"/>
    </row>
  </sheetData>
  <sortState ref="B27:L35">
    <sortCondition descending="1" ref="L35"/>
  </sortState>
  <mergeCells count="32">
    <mergeCell ref="I37:K37"/>
    <mergeCell ref="L37:L38"/>
    <mergeCell ref="A44:A45"/>
    <mergeCell ref="B44:B45"/>
    <mergeCell ref="C44:C45"/>
    <mergeCell ref="D44:D45"/>
    <mergeCell ref="E44:E45"/>
    <mergeCell ref="F44:H44"/>
    <mergeCell ref="I44:K44"/>
    <mergeCell ref="L44:L45"/>
    <mergeCell ref="A37:A38"/>
    <mergeCell ref="B37:B38"/>
    <mergeCell ref="C37:C38"/>
    <mergeCell ref="D37:D38"/>
    <mergeCell ref="E37:E38"/>
    <mergeCell ref="F37:H37"/>
    <mergeCell ref="I4:K4"/>
    <mergeCell ref="L4:L5"/>
    <mergeCell ref="A25:A26"/>
    <mergeCell ref="B25:B26"/>
    <mergeCell ref="C25:C26"/>
    <mergeCell ref="D25:D26"/>
    <mergeCell ref="E25:E26"/>
    <mergeCell ref="F25:H25"/>
    <mergeCell ref="I25:K25"/>
    <mergeCell ref="L25:L26"/>
    <mergeCell ref="A4:A5"/>
    <mergeCell ref="B4:B5"/>
    <mergeCell ref="C4:C5"/>
    <mergeCell ref="D4:D5"/>
    <mergeCell ref="E4:E5"/>
    <mergeCell ref="F4:H4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Taťka</dc:creator>
  <cp:lastModifiedBy>Taťka</cp:lastModifiedBy>
  <cp:lastPrinted>2012-07-01T13:42:34Z</cp:lastPrinted>
  <dcterms:created xsi:type="dcterms:W3CDTF">2012-07-01T07:12:50Z</dcterms:created>
  <dcterms:modified xsi:type="dcterms:W3CDTF">2012-07-05T20:08:59Z</dcterms:modified>
</cp:coreProperties>
</file>